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4010" yWindow="0" windowWidth="11010" windowHeight="11020"/>
  </bookViews>
  <sheets>
    <sheet name=" Country Ratings" sheetId="1" r:id="rId1"/>
    <sheet name="TABLE" sheetId="4" r:id="rId2"/>
    <sheet name="CHECK" sheetId="5" r:id="rId3"/>
  </sheets>
  <definedNames>
    <definedName name="_xlnm.Print_Titles" localSheetId="0">' Country Ratings'!$A:$A,' Country Ratings'!$1:$3</definedName>
  </definedNames>
  <calcPr calcId="125725"/>
</workbook>
</file>

<file path=xl/calcChain.xml><?xml version="1.0" encoding="utf-8"?>
<calcChain xmlns="http://schemas.openxmlformats.org/spreadsheetml/2006/main">
  <c r="J40" i="1"/>
  <c r="G40"/>
  <c r="AB197" i="4"/>
  <c r="AA197"/>
  <c r="V197"/>
  <c r="W197" s="1"/>
  <c r="Q197"/>
  <c r="M197"/>
  <c r="N197" s="1"/>
  <c r="L197"/>
  <c r="K197"/>
  <c r="J197"/>
  <c r="H197"/>
  <c r="T197" s="1"/>
  <c r="AA196"/>
  <c r="AB196" s="1"/>
  <c r="Y196"/>
  <c r="Z196" s="1"/>
  <c r="V196"/>
  <c r="W196" s="1"/>
  <c r="Q196"/>
  <c r="M196"/>
  <c r="N196" s="1"/>
  <c r="J196"/>
  <c r="K196" s="1"/>
  <c r="H196"/>
  <c r="T196" s="1"/>
  <c r="AB195"/>
  <c r="V195"/>
  <c r="W195" s="1"/>
  <c r="Q195"/>
  <c r="M195"/>
  <c r="Z195" s="1"/>
  <c r="J195"/>
  <c r="K195" s="1"/>
  <c r="H195"/>
  <c r="T195" s="1"/>
  <c r="AA194"/>
  <c r="AB194" s="1"/>
  <c r="V194"/>
  <c r="W194" s="1"/>
  <c r="Q194"/>
  <c r="M194"/>
  <c r="Z194" s="1"/>
  <c r="J194"/>
  <c r="K194" s="1"/>
  <c r="H194"/>
  <c r="T194" s="1"/>
  <c r="AB193"/>
  <c r="Y193"/>
  <c r="V193"/>
  <c r="W193" s="1"/>
  <c r="Q193"/>
  <c r="M193"/>
  <c r="Z193" s="1"/>
  <c r="J193"/>
  <c r="K193" s="1"/>
  <c r="H193"/>
  <c r="T193" s="1"/>
  <c r="W192"/>
  <c r="Q192"/>
  <c r="M192"/>
  <c r="N192" s="1"/>
  <c r="Z192" s="1"/>
  <c r="J192"/>
  <c r="H192"/>
  <c r="T192" s="1"/>
  <c r="AC192" s="1"/>
  <c r="W191"/>
  <c r="Q191"/>
  <c r="M191"/>
  <c r="Z191" s="1"/>
  <c r="J191"/>
  <c r="K191" s="1"/>
  <c r="H191"/>
  <c r="T191" s="1"/>
  <c r="AC191" s="1"/>
  <c r="AB190"/>
  <c r="AA190"/>
  <c r="V190"/>
  <c r="W190" s="1"/>
  <c r="Q190"/>
  <c r="M190"/>
  <c r="N190" s="1"/>
  <c r="J190"/>
  <c r="K190" s="1"/>
  <c r="H190"/>
  <c r="T190" s="1"/>
  <c r="AA189"/>
  <c r="AB189" s="1"/>
  <c r="V189"/>
  <c r="W189" s="1"/>
  <c r="Q189"/>
  <c r="M189"/>
  <c r="N189" s="1"/>
  <c r="J189"/>
  <c r="K189" s="1"/>
  <c r="H189"/>
  <c r="T189" s="1"/>
  <c r="AA188"/>
  <c r="AB188" s="1"/>
  <c r="V188"/>
  <c r="W188" s="1"/>
  <c r="Q188"/>
  <c r="M188"/>
  <c r="N188" s="1"/>
  <c r="J188"/>
  <c r="K188" s="1"/>
  <c r="H188"/>
  <c r="T188" s="1"/>
  <c r="AB187"/>
  <c r="Y187"/>
  <c r="V187"/>
  <c r="W187" s="1"/>
  <c r="Q187"/>
  <c r="M187"/>
  <c r="N187" s="1"/>
  <c r="J187"/>
  <c r="K187" s="1"/>
  <c r="H187"/>
  <c r="T187" s="1"/>
  <c r="AA186"/>
  <c r="AB186" s="1"/>
  <c r="V186"/>
  <c r="W186" s="1"/>
  <c r="Q186"/>
  <c r="M186"/>
  <c r="N186" s="1"/>
  <c r="J186"/>
  <c r="K186" s="1"/>
  <c r="H186"/>
  <c r="T186" s="1"/>
  <c r="AA185"/>
  <c r="AB185" s="1"/>
  <c r="W185"/>
  <c r="Q185"/>
  <c r="M185"/>
  <c r="Z185" s="1"/>
  <c r="J185"/>
  <c r="K185" s="1"/>
  <c r="H185"/>
  <c r="T185" s="1"/>
  <c r="W184"/>
  <c r="Q184"/>
  <c r="M184"/>
  <c r="N184" s="1"/>
  <c r="Z184" s="1"/>
  <c r="J184"/>
  <c r="H184"/>
  <c r="T184" s="1"/>
  <c r="AA183"/>
  <c r="AB183" s="1"/>
  <c r="W183"/>
  <c r="Q183"/>
  <c r="M183"/>
  <c r="N183" s="1"/>
  <c r="Z183" s="1"/>
  <c r="J183"/>
  <c r="K183" s="1"/>
  <c r="H183"/>
  <c r="T183" s="1"/>
  <c r="AA182"/>
  <c r="AB182" s="1"/>
  <c r="Y182"/>
  <c r="V182"/>
  <c r="W182" s="1"/>
  <c r="Q182"/>
  <c r="M182"/>
  <c r="N182" s="1"/>
  <c r="J182"/>
  <c r="K182" s="1"/>
  <c r="H182"/>
  <c r="T182" s="1"/>
  <c r="AA181"/>
  <c r="AB181" s="1"/>
  <c r="W181"/>
  <c r="Q181"/>
  <c r="M181"/>
  <c r="Z181" s="1"/>
  <c r="J181"/>
  <c r="K181" s="1"/>
  <c r="H181"/>
  <c r="T181" s="1"/>
  <c r="AC181" s="1"/>
  <c r="V180"/>
  <c r="W180" s="1"/>
  <c r="Q180"/>
  <c r="M180"/>
  <c r="N180" s="1"/>
  <c r="J180"/>
  <c r="H180"/>
  <c r="T180" s="1"/>
  <c r="W179"/>
  <c r="Q179"/>
  <c r="M179"/>
  <c r="N179" s="1"/>
  <c r="Z179" s="1"/>
  <c r="J179"/>
  <c r="H179"/>
  <c r="T179" s="1"/>
  <c r="AC179" s="1"/>
  <c r="W178"/>
  <c r="Q178"/>
  <c r="M178"/>
  <c r="N178" s="1"/>
  <c r="Z178" s="1"/>
  <c r="J178"/>
  <c r="K178" s="1"/>
  <c r="H178"/>
  <c r="T178" s="1"/>
  <c r="AC178" s="1"/>
  <c r="AA177"/>
  <c r="AB177" s="1"/>
  <c r="W177"/>
  <c r="Q177"/>
  <c r="M177"/>
  <c r="Z177" s="1"/>
  <c r="J177"/>
  <c r="K177" s="1"/>
  <c r="H177"/>
  <c r="T177" s="1"/>
  <c r="AA176"/>
  <c r="AB176" s="1"/>
  <c r="W176"/>
  <c r="Q176"/>
  <c r="M176"/>
  <c r="Z176" s="1"/>
  <c r="J176"/>
  <c r="K176" s="1"/>
  <c r="H176"/>
  <c r="T176" s="1"/>
  <c r="AA175"/>
  <c r="AB175" s="1"/>
  <c r="W175"/>
  <c r="Q175"/>
  <c r="M175"/>
  <c r="N175" s="1"/>
  <c r="Z175" s="1"/>
  <c r="J175"/>
  <c r="K175" s="1"/>
  <c r="H175"/>
  <c r="T175" s="1"/>
  <c r="AA174"/>
  <c r="AB174" s="1"/>
  <c r="W174"/>
  <c r="Q174"/>
  <c r="M174"/>
  <c r="Z174" s="1"/>
  <c r="J174"/>
  <c r="K174" s="1"/>
  <c r="H174"/>
  <c r="T174" s="1"/>
  <c r="AC174" s="1"/>
  <c r="AA173"/>
  <c r="AB173" s="1"/>
  <c r="W173"/>
  <c r="Q173"/>
  <c r="N173"/>
  <c r="M173"/>
  <c r="Z173" s="1"/>
  <c r="J173"/>
  <c r="H173"/>
  <c r="T173" s="1"/>
  <c r="AA172"/>
  <c r="AB172" s="1"/>
  <c r="Y172"/>
  <c r="W172"/>
  <c r="Q172"/>
  <c r="M172"/>
  <c r="N172" s="1"/>
  <c r="J172"/>
  <c r="K172" s="1"/>
  <c r="H172"/>
  <c r="T172" s="1"/>
  <c r="AA171"/>
  <c r="AB171" s="1"/>
  <c r="V171"/>
  <c r="W171" s="1"/>
  <c r="Q171"/>
  <c r="M171"/>
  <c r="N171" s="1"/>
  <c r="J171"/>
  <c r="K171" s="1"/>
  <c r="H171"/>
  <c r="T171" s="1"/>
  <c r="AA170"/>
  <c r="AB170" s="1"/>
  <c r="W170"/>
  <c r="Q170"/>
  <c r="M170"/>
  <c r="N170" s="1"/>
  <c r="Z170" s="1"/>
  <c r="J170"/>
  <c r="K170" s="1"/>
  <c r="H170"/>
  <c r="T170" s="1"/>
  <c r="W169"/>
  <c r="Q169"/>
  <c r="M169"/>
  <c r="N169" s="1"/>
  <c r="Z169" s="1"/>
  <c r="J169"/>
  <c r="H169"/>
  <c r="T169" s="1"/>
  <c r="AC169" s="1"/>
  <c r="AA168"/>
  <c r="AB168" s="1"/>
  <c r="W168"/>
  <c r="Q168"/>
  <c r="M168"/>
  <c r="Z168" s="1"/>
  <c r="J168"/>
  <c r="H168"/>
  <c r="T168" s="1"/>
  <c r="AC168" s="1"/>
  <c r="W167"/>
  <c r="Q167"/>
  <c r="M167"/>
  <c r="Z167" s="1"/>
  <c r="J167"/>
  <c r="H167"/>
  <c r="T167" s="1"/>
  <c r="AC167" s="1"/>
  <c r="W166"/>
  <c r="Q166"/>
  <c r="M166"/>
  <c r="Z166" s="1"/>
  <c r="J166"/>
  <c r="H166"/>
  <c r="T166" s="1"/>
  <c r="AC166" s="1"/>
  <c r="W165"/>
  <c r="Q165"/>
  <c r="M165"/>
  <c r="Z165" s="1"/>
  <c r="J165"/>
  <c r="H165"/>
  <c r="T165" s="1"/>
  <c r="AC165" s="1"/>
  <c r="W164"/>
  <c r="Q164"/>
  <c r="M164"/>
  <c r="Z164" s="1"/>
  <c r="J164"/>
  <c r="K164" s="1"/>
  <c r="H164"/>
  <c r="T164" s="1"/>
  <c r="AA163"/>
  <c r="AB163" s="1"/>
  <c r="V163"/>
  <c r="W163" s="1"/>
  <c r="Q163"/>
  <c r="M163"/>
  <c r="Z163" s="1"/>
  <c r="J163"/>
  <c r="K163" s="1"/>
  <c r="H163"/>
  <c r="T163" s="1"/>
  <c r="AA162"/>
  <c r="AB162" s="1"/>
  <c r="V162"/>
  <c r="W162" s="1"/>
  <c r="Q162"/>
  <c r="M162"/>
  <c r="Z162" s="1"/>
  <c r="J162"/>
  <c r="K162" s="1"/>
  <c r="H162"/>
  <c r="T162" s="1"/>
  <c r="AB161"/>
  <c r="Y161"/>
  <c r="W161"/>
  <c r="Q161"/>
  <c r="M161"/>
  <c r="J161"/>
  <c r="K161" s="1"/>
  <c r="H161"/>
  <c r="T161" s="1"/>
  <c r="W160"/>
  <c r="Q160"/>
  <c r="M160"/>
  <c r="N160" s="1"/>
  <c r="Z160" s="1"/>
  <c r="J160"/>
  <c r="H160"/>
  <c r="T160" s="1"/>
  <c r="W159"/>
  <c r="Q159"/>
  <c r="M159"/>
  <c r="N159" s="1"/>
  <c r="Z159" s="1"/>
  <c r="J159"/>
  <c r="H159"/>
  <c r="T159" s="1"/>
  <c r="AA158"/>
  <c r="AB158" s="1"/>
  <c r="V158"/>
  <c r="W158" s="1"/>
  <c r="Q158"/>
  <c r="M158"/>
  <c r="Z158" s="1"/>
  <c r="J158"/>
  <c r="K158" s="1"/>
  <c r="H158"/>
  <c r="T158" s="1"/>
  <c r="AA157"/>
  <c r="AB157" s="1"/>
  <c r="V157"/>
  <c r="W157" s="1"/>
  <c r="Q157"/>
  <c r="M157"/>
  <c r="Z157" s="1"/>
  <c r="J157"/>
  <c r="K157" s="1"/>
  <c r="H157"/>
  <c r="T157" s="1"/>
  <c r="AA156"/>
  <c r="AB156" s="1"/>
  <c r="Y156"/>
  <c r="V156"/>
  <c r="W156" s="1"/>
  <c r="Q156"/>
  <c r="M156"/>
  <c r="N156" s="1"/>
  <c r="L156"/>
  <c r="J156"/>
  <c r="H156"/>
  <c r="T156" s="1"/>
  <c r="Q155"/>
  <c r="M155"/>
  <c r="N155" s="1"/>
  <c r="Z155" s="1"/>
  <c r="J155"/>
  <c r="K155" s="1"/>
  <c r="H155"/>
  <c r="T155" s="1"/>
  <c r="AC155" s="1"/>
  <c r="AA154"/>
  <c r="AB154" s="1"/>
  <c r="W154"/>
  <c r="Q154"/>
  <c r="M154"/>
  <c r="Z154" s="1"/>
  <c r="J154"/>
  <c r="K154" s="1"/>
  <c r="H154"/>
  <c r="T154" s="1"/>
  <c r="AA153"/>
  <c r="AB153" s="1"/>
  <c r="V153"/>
  <c r="W153" s="1"/>
  <c r="Q153"/>
  <c r="N153"/>
  <c r="M153"/>
  <c r="Z153" s="1"/>
  <c r="J153"/>
  <c r="H153"/>
  <c r="T153" s="1"/>
  <c r="AB152"/>
  <c r="AA152"/>
  <c r="W152"/>
  <c r="Q152"/>
  <c r="N152"/>
  <c r="M152"/>
  <c r="Z152" s="1"/>
  <c r="J152"/>
  <c r="K152" s="1"/>
  <c r="H152"/>
  <c r="T152" s="1"/>
  <c r="AC152" s="1"/>
  <c r="AA151"/>
  <c r="AB151" s="1"/>
  <c r="W151"/>
  <c r="V151"/>
  <c r="Q151"/>
  <c r="M151"/>
  <c r="Z151" s="1"/>
  <c r="J151"/>
  <c r="H151"/>
  <c r="T151" s="1"/>
  <c r="W150"/>
  <c r="Q150"/>
  <c r="M150"/>
  <c r="N150" s="1"/>
  <c r="Z150" s="1"/>
  <c r="J150"/>
  <c r="H150"/>
  <c r="T150" s="1"/>
  <c r="W149"/>
  <c r="Q149"/>
  <c r="M149"/>
  <c r="N149" s="1"/>
  <c r="Z149" s="1"/>
  <c r="J149"/>
  <c r="H149"/>
  <c r="T149" s="1"/>
  <c r="W148"/>
  <c r="Q148"/>
  <c r="M148"/>
  <c r="N148" s="1"/>
  <c r="Z148" s="1"/>
  <c r="J148"/>
  <c r="H148"/>
  <c r="T148" s="1"/>
  <c r="W147"/>
  <c r="Q147"/>
  <c r="M147"/>
  <c r="N147" s="1"/>
  <c r="Z147" s="1"/>
  <c r="J147"/>
  <c r="K147" s="1"/>
  <c r="H147"/>
  <c r="T147" s="1"/>
  <c r="AA146"/>
  <c r="AB146" s="1"/>
  <c r="V146"/>
  <c r="W146" s="1"/>
  <c r="Q146"/>
  <c r="M146"/>
  <c r="N146" s="1"/>
  <c r="J146"/>
  <c r="K146" s="1"/>
  <c r="H146"/>
  <c r="T146" s="1"/>
  <c r="AA145"/>
  <c r="AB145" s="1"/>
  <c r="V145"/>
  <c r="W145" s="1"/>
  <c r="Q145"/>
  <c r="M145"/>
  <c r="N145" s="1"/>
  <c r="J145"/>
  <c r="K145" s="1"/>
  <c r="H145"/>
  <c r="T145" s="1"/>
  <c r="V144"/>
  <c r="W144" s="1"/>
  <c r="Q144"/>
  <c r="M144"/>
  <c r="Z144" s="1"/>
  <c r="J144"/>
  <c r="K144" s="1"/>
  <c r="H144"/>
  <c r="T144" s="1"/>
  <c r="AA143"/>
  <c r="AB143" s="1"/>
  <c r="W143"/>
  <c r="Q143"/>
  <c r="M143"/>
  <c r="Z143" s="1"/>
  <c r="J143"/>
  <c r="K143" s="1"/>
  <c r="H143"/>
  <c r="T143" s="1"/>
  <c r="AC143" s="1"/>
  <c r="AA142"/>
  <c r="AB142" s="1"/>
  <c r="W142"/>
  <c r="Q142"/>
  <c r="M142"/>
  <c r="Z142" s="1"/>
  <c r="J142"/>
  <c r="K142" s="1"/>
  <c r="H142"/>
  <c r="T142" s="1"/>
  <c r="AC142" s="1"/>
  <c r="AA141"/>
  <c r="AB141" s="1"/>
  <c r="Y141"/>
  <c r="V141"/>
  <c r="W141" s="1"/>
  <c r="Q141"/>
  <c r="M141"/>
  <c r="N141" s="1"/>
  <c r="J141"/>
  <c r="K141" s="1"/>
  <c r="H141"/>
  <c r="T141" s="1"/>
  <c r="AA140"/>
  <c r="AB140" s="1"/>
  <c r="V140"/>
  <c r="W140" s="1"/>
  <c r="Q140"/>
  <c r="M140"/>
  <c r="Z140" s="1"/>
  <c r="J140"/>
  <c r="K140" s="1"/>
  <c r="H140"/>
  <c r="T140" s="1"/>
  <c r="AA139"/>
  <c r="AB139" s="1"/>
  <c r="W139"/>
  <c r="Q139"/>
  <c r="M139"/>
  <c r="Z139" s="1"/>
  <c r="J139"/>
  <c r="K139" s="1"/>
  <c r="H139"/>
  <c r="T139" s="1"/>
  <c r="W138"/>
  <c r="Q138"/>
  <c r="M138"/>
  <c r="Z138" s="1"/>
  <c r="J138"/>
  <c r="K138" s="1"/>
  <c r="H138"/>
  <c r="T138" s="1"/>
  <c r="AC138" s="1"/>
  <c r="AA137"/>
  <c r="AB137" s="1"/>
  <c r="V137"/>
  <c r="W137" s="1"/>
  <c r="Q137"/>
  <c r="M137"/>
  <c r="N137" s="1"/>
  <c r="J137"/>
  <c r="K137" s="1"/>
  <c r="H137"/>
  <c r="T137" s="1"/>
  <c r="W136"/>
  <c r="Q136"/>
  <c r="M136"/>
  <c r="N136" s="1"/>
  <c r="Z136" s="1"/>
  <c r="J136"/>
  <c r="H136"/>
  <c r="T136" s="1"/>
  <c r="AA135"/>
  <c r="AB135" s="1"/>
  <c r="Y135"/>
  <c r="V135"/>
  <c r="W135" s="1"/>
  <c r="Q135"/>
  <c r="M135"/>
  <c r="N135" s="1"/>
  <c r="J135"/>
  <c r="K135" s="1"/>
  <c r="H135"/>
  <c r="T135" s="1"/>
  <c r="W134"/>
  <c r="Q134"/>
  <c r="M134"/>
  <c r="Z134" s="1"/>
  <c r="J134"/>
  <c r="H134"/>
  <c r="T134" s="1"/>
  <c r="AC134" s="1"/>
  <c r="AA133"/>
  <c r="AB133" s="1"/>
  <c r="V133"/>
  <c r="W133" s="1"/>
  <c r="Q133"/>
  <c r="M133"/>
  <c r="Z133" s="1"/>
  <c r="J133"/>
  <c r="K133" s="1"/>
  <c r="H133"/>
  <c r="T133" s="1"/>
  <c r="W132"/>
  <c r="Q132"/>
  <c r="M132"/>
  <c r="N132" s="1"/>
  <c r="Z132" s="1"/>
  <c r="J132"/>
  <c r="H132"/>
  <c r="T132" s="1"/>
  <c r="AC132" s="1"/>
  <c r="AB131"/>
  <c r="Y131"/>
  <c r="V131"/>
  <c r="W131" s="1"/>
  <c r="Q131"/>
  <c r="M131"/>
  <c r="N131" s="1"/>
  <c r="J131"/>
  <c r="K131" s="1"/>
  <c r="H131"/>
  <c r="T131" s="1"/>
  <c r="W130"/>
  <c r="Q130"/>
  <c r="M130"/>
  <c r="N130" s="1"/>
  <c r="Z130" s="1"/>
  <c r="J130"/>
  <c r="K130" s="1"/>
  <c r="H130"/>
  <c r="T130" s="1"/>
  <c r="AC130" s="1"/>
  <c r="AA129"/>
  <c r="AB129" s="1"/>
  <c r="W129"/>
  <c r="Q129"/>
  <c r="M129"/>
  <c r="N129" s="1"/>
  <c r="J129"/>
  <c r="K129" s="1"/>
  <c r="H129"/>
  <c r="T129" s="1"/>
  <c r="AA128"/>
  <c r="AB128" s="1"/>
  <c r="V128"/>
  <c r="W128" s="1"/>
  <c r="Q128"/>
  <c r="M128"/>
  <c r="Z128" s="1"/>
  <c r="J128"/>
  <c r="H128"/>
  <c r="T128" s="1"/>
  <c r="AA127"/>
  <c r="AB127" s="1"/>
  <c r="V127"/>
  <c r="W127" s="1"/>
  <c r="Q127"/>
  <c r="M127"/>
  <c r="N127" s="1"/>
  <c r="J127"/>
  <c r="K127" s="1"/>
  <c r="H127"/>
  <c r="T127" s="1"/>
  <c r="W126"/>
  <c r="Q126"/>
  <c r="M126"/>
  <c r="N126" s="1"/>
  <c r="Z126" s="1"/>
  <c r="J126"/>
  <c r="K126" s="1"/>
  <c r="H126"/>
  <c r="T126" s="1"/>
  <c r="W125"/>
  <c r="Q125"/>
  <c r="M125"/>
  <c r="N125" s="1"/>
  <c r="Z125" s="1"/>
  <c r="J125"/>
  <c r="H125"/>
  <c r="T125" s="1"/>
  <c r="AC125" s="1"/>
  <c r="AA124"/>
  <c r="AB124" s="1"/>
  <c r="W124"/>
  <c r="Q124"/>
  <c r="M124"/>
  <c r="Z124" s="1"/>
  <c r="J124"/>
  <c r="K124" s="1"/>
  <c r="H124"/>
  <c r="T124" s="1"/>
  <c r="AA123"/>
  <c r="AB123" s="1"/>
  <c r="W123"/>
  <c r="Q123"/>
  <c r="M123"/>
  <c r="N123" s="1"/>
  <c r="J123"/>
  <c r="K123" s="1"/>
  <c r="H123"/>
  <c r="T123" s="1"/>
  <c r="AA122"/>
  <c r="AB122" s="1"/>
  <c r="W122"/>
  <c r="Q122"/>
  <c r="M122"/>
  <c r="Z122" s="1"/>
  <c r="J122"/>
  <c r="K122" s="1"/>
  <c r="H122"/>
  <c r="T122" s="1"/>
  <c r="V121"/>
  <c r="W121" s="1"/>
  <c r="Q121"/>
  <c r="M121"/>
  <c r="N121" s="1"/>
  <c r="J121"/>
  <c r="K121" s="1"/>
  <c r="H121"/>
  <c r="T121" s="1"/>
  <c r="W120"/>
  <c r="Q120"/>
  <c r="M120"/>
  <c r="N120" s="1"/>
  <c r="Z120" s="1"/>
  <c r="J120"/>
  <c r="K120" s="1"/>
  <c r="H120"/>
  <c r="T120" s="1"/>
  <c r="W119"/>
  <c r="Q119"/>
  <c r="M119"/>
  <c r="N119" s="1"/>
  <c r="Z119" s="1"/>
  <c r="J119"/>
  <c r="H119"/>
  <c r="T119" s="1"/>
  <c r="AC119" s="1"/>
  <c r="AA118"/>
  <c r="AB118" s="1"/>
  <c r="W118"/>
  <c r="Q118"/>
  <c r="M118"/>
  <c r="Z118" s="1"/>
  <c r="J118"/>
  <c r="K118" s="1"/>
  <c r="H118"/>
  <c r="T118" s="1"/>
  <c r="W117"/>
  <c r="Q117"/>
  <c r="M117"/>
  <c r="N117" s="1"/>
  <c r="Z117" s="1"/>
  <c r="J117"/>
  <c r="H117"/>
  <c r="T117" s="1"/>
  <c r="AA116"/>
  <c r="AB116" s="1"/>
  <c r="V116"/>
  <c r="W116" s="1"/>
  <c r="Q116"/>
  <c r="M116"/>
  <c r="N116" s="1"/>
  <c r="J116"/>
  <c r="K116" s="1"/>
  <c r="H116"/>
  <c r="T116" s="1"/>
  <c r="AA115"/>
  <c r="AB115" s="1"/>
  <c r="W115"/>
  <c r="Q115"/>
  <c r="M115"/>
  <c r="Z115" s="1"/>
  <c r="J115"/>
  <c r="H115"/>
  <c r="T115" s="1"/>
  <c r="AC115" s="1"/>
  <c r="W114"/>
  <c r="Q114"/>
  <c r="M114"/>
  <c r="N114" s="1"/>
  <c r="Z114" s="1"/>
  <c r="J114"/>
  <c r="K114" s="1"/>
  <c r="H114"/>
  <c r="T114" s="1"/>
  <c r="W113"/>
  <c r="Q113"/>
  <c r="M113"/>
  <c r="N113" s="1"/>
  <c r="Z113" s="1"/>
  <c r="J113"/>
  <c r="H113"/>
  <c r="T113" s="1"/>
  <c r="AC113" s="1"/>
  <c r="AA112"/>
  <c r="AB112" s="1"/>
  <c r="W112"/>
  <c r="V112"/>
  <c r="T112"/>
  <c r="Q112"/>
  <c r="N112"/>
  <c r="R112" s="1"/>
  <c r="S112" s="1"/>
  <c r="M112"/>
  <c r="Z112" s="1"/>
  <c r="J112"/>
  <c r="H112"/>
  <c r="AB111"/>
  <c r="AA111"/>
  <c r="W111"/>
  <c r="Q111"/>
  <c r="M111"/>
  <c r="N111" s="1"/>
  <c r="J111"/>
  <c r="K111" s="1"/>
  <c r="H111"/>
  <c r="T111" s="1"/>
  <c r="W110"/>
  <c r="Q110"/>
  <c r="M110"/>
  <c r="N110" s="1"/>
  <c r="Z110" s="1"/>
  <c r="J110"/>
  <c r="H110"/>
  <c r="T110" s="1"/>
  <c r="AC110" s="1"/>
  <c r="AA109"/>
  <c r="AB109" s="1"/>
  <c r="V109"/>
  <c r="W109" s="1"/>
  <c r="Q109"/>
  <c r="M109"/>
  <c r="Z109" s="1"/>
  <c r="J109"/>
  <c r="K109" s="1"/>
  <c r="H109"/>
  <c r="T109" s="1"/>
  <c r="Y108"/>
  <c r="V108"/>
  <c r="W108" s="1"/>
  <c r="Q108"/>
  <c r="M108"/>
  <c r="N108" s="1"/>
  <c r="J108"/>
  <c r="K108" s="1"/>
  <c r="H108"/>
  <c r="T108" s="1"/>
  <c r="AA107"/>
  <c r="AB107" s="1"/>
  <c r="W107"/>
  <c r="Q107"/>
  <c r="M107"/>
  <c r="N107" s="1"/>
  <c r="Z107" s="1"/>
  <c r="J107"/>
  <c r="K107" s="1"/>
  <c r="H107"/>
  <c r="T107" s="1"/>
  <c r="AA106"/>
  <c r="AB106" s="1"/>
  <c r="V106"/>
  <c r="W106" s="1"/>
  <c r="Q106"/>
  <c r="M106"/>
  <c r="Z106" s="1"/>
  <c r="J106"/>
  <c r="K106" s="1"/>
  <c r="H106"/>
  <c r="T106" s="1"/>
  <c r="AA105"/>
  <c r="AB105" s="1"/>
  <c r="V105"/>
  <c r="W105" s="1"/>
  <c r="Q105"/>
  <c r="N105"/>
  <c r="M105"/>
  <c r="Z105" s="1"/>
  <c r="K105"/>
  <c r="J105"/>
  <c r="H105"/>
  <c r="T105" s="1"/>
  <c r="AA104"/>
  <c r="AB104" s="1"/>
  <c r="W104"/>
  <c r="V104"/>
  <c r="Q104"/>
  <c r="M104"/>
  <c r="Z104" s="1"/>
  <c r="J104"/>
  <c r="K104" s="1"/>
  <c r="H104"/>
  <c r="T104" s="1"/>
  <c r="W103"/>
  <c r="V103"/>
  <c r="Q103"/>
  <c r="N103"/>
  <c r="Z103" s="1"/>
  <c r="M103"/>
  <c r="J103"/>
  <c r="H103"/>
  <c r="T103" s="1"/>
  <c r="V102"/>
  <c r="W102" s="1"/>
  <c r="Q102"/>
  <c r="M102"/>
  <c r="N102" s="1"/>
  <c r="H102"/>
  <c r="T102" s="1"/>
  <c r="W101"/>
  <c r="Q101"/>
  <c r="N101"/>
  <c r="Z101" s="1"/>
  <c r="M101"/>
  <c r="K101"/>
  <c r="J101"/>
  <c r="H101"/>
  <c r="T101" s="1"/>
  <c r="AC101" s="1"/>
  <c r="AA100"/>
  <c r="AB100" s="1"/>
  <c r="W100"/>
  <c r="Q100"/>
  <c r="M100"/>
  <c r="N100" s="1"/>
  <c r="Z100" s="1"/>
  <c r="J100"/>
  <c r="K100" s="1"/>
  <c r="H100"/>
  <c r="T100" s="1"/>
  <c r="AA99"/>
  <c r="AB99" s="1"/>
  <c r="W99"/>
  <c r="Q99"/>
  <c r="M99"/>
  <c r="Z99" s="1"/>
  <c r="J99"/>
  <c r="H99"/>
  <c r="T99" s="1"/>
  <c r="AC99" s="1"/>
  <c r="AA98"/>
  <c r="AB98" s="1"/>
  <c r="V98"/>
  <c r="W98" s="1"/>
  <c r="Q98"/>
  <c r="M98"/>
  <c r="N98" s="1"/>
  <c r="J98"/>
  <c r="K98" s="1"/>
  <c r="H98"/>
  <c r="T98" s="1"/>
  <c r="AA97"/>
  <c r="AB97" s="1"/>
  <c r="W97"/>
  <c r="Q97"/>
  <c r="M97"/>
  <c r="N97" s="1"/>
  <c r="Z97" s="1"/>
  <c r="J97"/>
  <c r="K97" s="1"/>
  <c r="H97"/>
  <c r="T97" s="1"/>
  <c r="AA96"/>
  <c r="AB96" s="1"/>
  <c r="W96"/>
  <c r="Q96"/>
  <c r="M96"/>
  <c r="N96" s="1"/>
  <c r="Z96" s="1"/>
  <c r="J96"/>
  <c r="K96" s="1"/>
  <c r="H96"/>
  <c r="T96" s="1"/>
  <c r="V95"/>
  <c r="W95" s="1"/>
  <c r="Q95"/>
  <c r="M95"/>
  <c r="N95" s="1"/>
  <c r="J95"/>
  <c r="H95"/>
  <c r="T95" s="1"/>
  <c r="W94"/>
  <c r="Q94"/>
  <c r="M94"/>
  <c r="Z94" s="1"/>
  <c r="J94"/>
  <c r="H94"/>
  <c r="T94" s="1"/>
  <c r="AC94" s="1"/>
  <c r="W93"/>
  <c r="Q93"/>
  <c r="M93"/>
  <c r="N93" s="1"/>
  <c r="Z93" s="1"/>
  <c r="J93"/>
  <c r="H93"/>
  <c r="T93" s="1"/>
  <c r="AC93" s="1"/>
  <c r="AA92"/>
  <c r="AB92" s="1"/>
  <c r="W92"/>
  <c r="Q92"/>
  <c r="M92"/>
  <c r="Z92" s="1"/>
  <c r="J92"/>
  <c r="K92" s="1"/>
  <c r="H92"/>
  <c r="T92" s="1"/>
  <c r="AA91"/>
  <c r="AB91" s="1"/>
  <c r="V91"/>
  <c r="W91" s="1"/>
  <c r="Q91"/>
  <c r="M91"/>
  <c r="Z91" s="1"/>
  <c r="J91"/>
  <c r="K91" s="1"/>
  <c r="H91"/>
  <c r="T91" s="1"/>
  <c r="AA90"/>
  <c r="AB90" s="1"/>
  <c r="W90"/>
  <c r="Q90"/>
  <c r="M90"/>
  <c r="Z90" s="1"/>
  <c r="J90"/>
  <c r="K90" s="1"/>
  <c r="H90"/>
  <c r="T90" s="1"/>
  <c r="AA89"/>
  <c r="AB89" s="1"/>
  <c r="V89"/>
  <c r="W89" s="1"/>
  <c r="Q89"/>
  <c r="M89"/>
  <c r="Z89" s="1"/>
  <c r="J89"/>
  <c r="K89" s="1"/>
  <c r="H89"/>
  <c r="T89" s="1"/>
  <c r="W88"/>
  <c r="Q88"/>
  <c r="M88"/>
  <c r="Z88" s="1"/>
  <c r="J88"/>
  <c r="K88" s="1"/>
  <c r="H88"/>
  <c r="T88" s="1"/>
  <c r="AC88" s="1"/>
  <c r="AA87"/>
  <c r="AB87" s="1"/>
  <c r="V87"/>
  <c r="W87" s="1"/>
  <c r="Q87"/>
  <c r="M87"/>
  <c r="N87" s="1"/>
  <c r="J87"/>
  <c r="K87" s="1"/>
  <c r="H87"/>
  <c r="T87" s="1"/>
  <c r="AA86"/>
  <c r="AB86" s="1"/>
  <c r="V86"/>
  <c r="W86" s="1"/>
  <c r="Q86"/>
  <c r="M86"/>
  <c r="N86" s="1"/>
  <c r="J86"/>
  <c r="K86" s="1"/>
  <c r="H86"/>
  <c r="T86" s="1"/>
  <c r="AA85"/>
  <c r="AB85" s="1"/>
  <c r="V85"/>
  <c r="W85" s="1"/>
  <c r="Q85"/>
  <c r="M85"/>
  <c r="N85" s="1"/>
  <c r="J85"/>
  <c r="K85" s="1"/>
  <c r="H85"/>
  <c r="T85" s="1"/>
  <c r="W84"/>
  <c r="Q84"/>
  <c r="M84"/>
  <c r="N84" s="1"/>
  <c r="Z84" s="1"/>
  <c r="J84"/>
  <c r="K84" s="1"/>
  <c r="H84"/>
  <c r="T84" s="1"/>
  <c r="AC84" s="1"/>
  <c r="AA83"/>
  <c r="AB83" s="1"/>
  <c r="V83"/>
  <c r="W83" s="1"/>
  <c r="Q83"/>
  <c r="M83"/>
  <c r="Z83" s="1"/>
  <c r="L83"/>
  <c r="J83"/>
  <c r="K83" s="1"/>
  <c r="H83"/>
  <c r="T83" s="1"/>
  <c r="AA82"/>
  <c r="AB82" s="1"/>
  <c r="Y82"/>
  <c r="W82"/>
  <c r="Q82"/>
  <c r="M82"/>
  <c r="N82" s="1"/>
  <c r="J82"/>
  <c r="K82" s="1"/>
  <c r="H82"/>
  <c r="T82" s="1"/>
  <c r="AA81"/>
  <c r="AB81" s="1"/>
  <c r="W81"/>
  <c r="Q81"/>
  <c r="M81"/>
  <c r="Z81" s="1"/>
  <c r="J81"/>
  <c r="K81" s="1"/>
  <c r="H81"/>
  <c r="T81" s="1"/>
  <c r="AA80"/>
  <c r="AB80" s="1"/>
  <c r="V80"/>
  <c r="W80" s="1"/>
  <c r="Q80"/>
  <c r="M80"/>
  <c r="Z80" s="1"/>
  <c r="J80"/>
  <c r="H80"/>
  <c r="T80" s="1"/>
  <c r="AA79"/>
  <c r="AB79" s="1"/>
  <c r="V79"/>
  <c r="W79" s="1"/>
  <c r="Q79"/>
  <c r="M79"/>
  <c r="N79" s="1"/>
  <c r="J79"/>
  <c r="K79" s="1"/>
  <c r="H79"/>
  <c r="T79" s="1"/>
  <c r="AA78"/>
  <c r="AB78" s="1"/>
  <c r="W78"/>
  <c r="Q78"/>
  <c r="M78"/>
  <c r="Z78" s="1"/>
  <c r="J78"/>
  <c r="K78" s="1"/>
  <c r="H78"/>
  <c r="T78" s="1"/>
  <c r="AA77"/>
  <c r="AB77" s="1"/>
  <c r="V77"/>
  <c r="W77" s="1"/>
  <c r="Q77"/>
  <c r="M77"/>
  <c r="N77" s="1"/>
  <c r="Z77" s="1"/>
  <c r="J77"/>
  <c r="K77" s="1"/>
  <c r="H77"/>
  <c r="T77" s="1"/>
  <c r="W76"/>
  <c r="Q76"/>
  <c r="M76"/>
  <c r="Z76" s="1"/>
  <c r="J76"/>
  <c r="K76" s="1"/>
  <c r="H76"/>
  <c r="T76" s="1"/>
  <c r="AC76" s="1"/>
  <c r="W75"/>
  <c r="Q75"/>
  <c r="M75"/>
  <c r="N75" s="1"/>
  <c r="Z75" s="1"/>
  <c r="J75"/>
  <c r="K75" s="1"/>
  <c r="H75"/>
  <c r="T75" s="1"/>
  <c r="AC75" s="1"/>
  <c r="AA74"/>
  <c r="AB74" s="1"/>
  <c r="W74"/>
  <c r="Q74"/>
  <c r="M74"/>
  <c r="N74" s="1"/>
  <c r="Z74" s="1"/>
  <c r="J74"/>
  <c r="K74" s="1"/>
  <c r="H74"/>
  <c r="T74" s="1"/>
  <c r="AA73"/>
  <c r="AB73" s="1"/>
  <c r="W73"/>
  <c r="Q73"/>
  <c r="M73"/>
  <c r="Z73" s="1"/>
  <c r="J73"/>
  <c r="K73" s="1"/>
  <c r="H73"/>
  <c r="T73" s="1"/>
  <c r="W72"/>
  <c r="Q72"/>
  <c r="M72"/>
  <c r="N72" s="1"/>
  <c r="Z72" s="1"/>
  <c r="J72"/>
  <c r="H72"/>
  <c r="T72" s="1"/>
  <c r="AC72" s="1"/>
  <c r="AA71"/>
  <c r="AB71" s="1"/>
  <c r="V71"/>
  <c r="W71" s="1"/>
  <c r="Q71"/>
  <c r="M71"/>
  <c r="Z71" s="1"/>
  <c r="J71"/>
  <c r="K71" s="1"/>
  <c r="H71"/>
  <c r="T71" s="1"/>
  <c r="W70"/>
  <c r="Q70"/>
  <c r="M70"/>
  <c r="Z70" s="1"/>
  <c r="J70"/>
  <c r="K70" s="1"/>
  <c r="H70"/>
  <c r="T70" s="1"/>
  <c r="AC70" s="1"/>
  <c r="AA69"/>
  <c r="AB69" s="1"/>
  <c r="V69"/>
  <c r="W69" s="1"/>
  <c r="Q69"/>
  <c r="M69"/>
  <c r="Z69" s="1"/>
  <c r="J69"/>
  <c r="K69" s="1"/>
  <c r="H69"/>
  <c r="T69" s="1"/>
  <c r="V68"/>
  <c r="W68" s="1"/>
  <c r="Q68"/>
  <c r="M68"/>
  <c r="N68" s="1"/>
  <c r="Z68" s="1"/>
  <c r="J68"/>
  <c r="K68" s="1"/>
  <c r="H68"/>
  <c r="T68" s="1"/>
  <c r="AC68" s="1"/>
  <c r="AA67"/>
  <c r="AB67" s="1"/>
  <c r="W67"/>
  <c r="Q67"/>
  <c r="M67"/>
  <c r="N67" s="1"/>
  <c r="Z67" s="1"/>
  <c r="J67"/>
  <c r="K67" s="1"/>
  <c r="H67"/>
  <c r="T67" s="1"/>
  <c r="AA66"/>
  <c r="AB66" s="1"/>
  <c r="W66"/>
  <c r="Q66"/>
  <c r="M66"/>
  <c r="Z66" s="1"/>
  <c r="J66"/>
  <c r="K66" s="1"/>
  <c r="H66"/>
  <c r="T66" s="1"/>
  <c r="AA65"/>
  <c r="AB65" s="1"/>
  <c r="V65"/>
  <c r="W65" s="1"/>
  <c r="Q65"/>
  <c r="M65"/>
  <c r="Z65" s="1"/>
  <c r="J65"/>
  <c r="K65" s="1"/>
  <c r="H65"/>
  <c r="T65" s="1"/>
  <c r="AA64"/>
  <c r="AB64" s="1"/>
  <c r="V64"/>
  <c r="W64" s="1"/>
  <c r="Q64"/>
  <c r="M64"/>
  <c r="Z64" s="1"/>
  <c r="L64"/>
  <c r="J64"/>
  <c r="K64" s="1"/>
  <c r="H64"/>
  <c r="T64" s="1"/>
  <c r="W63"/>
  <c r="Q63"/>
  <c r="M63"/>
  <c r="N63" s="1"/>
  <c r="Z63" s="1"/>
  <c r="J63"/>
  <c r="H63"/>
  <c r="T63" s="1"/>
  <c r="AC63" s="1"/>
  <c r="AA62"/>
  <c r="AB62" s="1"/>
  <c r="W62"/>
  <c r="Q62"/>
  <c r="M62"/>
  <c r="Z62" s="1"/>
  <c r="J62"/>
  <c r="K62" s="1"/>
  <c r="H62"/>
  <c r="T62" s="1"/>
  <c r="AC62" s="1"/>
  <c r="AA61"/>
  <c r="AB61" s="1"/>
  <c r="V61"/>
  <c r="W61" s="1"/>
  <c r="Q61"/>
  <c r="M61"/>
  <c r="Z61" s="1"/>
  <c r="J61"/>
  <c r="K61" s="1"/>
  <c r="H61"/>
  <c r="T61" s="1"/>
  <c r="AA60"/>
  <c r="AB60" s="1"/>
  <c r="W60"/>
  <c r="Q60"/>
  <c r="M60"/>
  <c r="N60" s="1"/>
  <c r="Z60" s="1"/>
  <c r="J60"/>
  <c r="H60"/>
  <c r="T60" s="1"/>
  <c r="W59"/>
  <c r="Q59"/>
  <c r="M59"/>
  <c r="Z59" s="1"/>
  <c r="J59"/>
  <c r="H59"/>
  <c r="T59" s="1"/>
  <c r="AA58"/>
  <c r="AB58" s="1"/>
  <c r="W58"/>
  <c r="Q58"/>
  <c r="M58"/>
  <c r="Z58" s="1"/>
  <c r="J58"/>
  <c r="K58" s="1"/>
  <c r="H58"/>
  <c r="T58" s="1"/>
  <c r="AB57"/>
  <c r="W57"/>
  <c r="Q57"/>
  <c r="M57"/>
  <c r="Z57" s="1"/>
  <c r="J57"/>
  <c r="K57" s="1"/>
  <c r="H57"/>
  <c r="T57" s="1"/>
  <c r="AA56"/>
  <c r="AB56" s="1"/>
  <c r="Y56"/>
  <c r="V56"/>
  <c r="W56" s="1"/>
  <c r="Q56"/>
  <c r="M56"/>
  <c r="N56" s="1"/>
  <c r="J56"/>
  <c r="K56" s="1"/>
  <c r="H56"/>
  <c r="T56" s="1"/>
  <c r="W55"/>
  <c r="Q55"/>
  <c r="M55"/>
  <c r="N55" s="1"/>
  <c r="Z55" s="1"/>
  <c r="J55"/>
  <c r="H55"/>
  <c r="T55" s="1"/>
  <c r="AA54"/>
  <c r="AB54" s="1"/>
  <c r="W54"/>
  <c r="Q54"/>
  <c r="M54"/>
  <c r="Z54" s="1"/>
  <c r="J54"/>
  <c r="K54" s="1"/>
  <c r="H54"/>
  <c r="T54" s="1"/>
  <c r="AA53"/>
  <c r="AB53" s="1"/>
  <c r="W53"/>
  <c r="Q53"/>
  <c r="M53"/>
  <c r="Z53" s="1"/>
  <c r="J53"/>
  <c r="H53"/>
  <c r="T53" s="1"/>
  <c r="AA52"/>
  <c r="AB52" s="1"/>
  <c r="W52"/>
  <c r="Q52"/>
  <c r="M52"/>
  <c r="N52" s="1"/>
  <c r="Z52" s="1"/>
  <c r="J52"/>
  <c r="K52" s="1"/>
  <c r="H52"/>
  <c r="T52" s="1"/>
  <c r="AA51"/>
  <c r="AB51" s="1"/>
  <c r="V51"/>
  <c r="W51" s="1"/>
  <c r="Q51"/>
  <c r="M51"/>
  <c r="Z51" s="1"/>
  <c r="J51"/>
  <c r="K51" s="1"/>
  <c r="H51"/>
  <c r="T51" s="1"/>
  <c r="AA50"/>
  <c r="AB50" s="1"/>
  <c r="V50"/>
  <c r="W50" s="1"/>
  <c r="Q50"/>
  <c r="M50"/>
  <c r="Z50" s="1"/>
  <c r="J50"/>
  <c r="H50"/>
  <c r="T50" s="1"/>
  <c r="AA49"/>
  <c r="AB49" s="1"/>
  <c r="V49"/>
  <c r="W49" s="1"/>
  <c r="Q49"/>
  <c r="M49"/>
  <c r="N49" s="1"/>
  <c r="J49"/>
  <c r="H49"/>
  <c r="T49" s="1"/>
  <c r="AA48"/>
  <c r="AB48" s="1"/>
  <c r="W48"/>
  <c r="Q48"/>
  <c r="M48"/>
  <c r="Z48" s="1"/>
  <c r="J48"/>
  <c r="H48"/>
  <c r="T48" s="1"/>
  <c r="AA47"/>
  <c r="AB47" s="1"/>
  <c r="V47"/>
  <c r="W47" s="1"/>
  <c r="Q47"/>
  <c r="M47"/>
  <c r="Z47" s="1"/>
  <c r="J47"/>
  <c r="H47"/>
  <c r="T47" s="1"/>
  <c r="AA46"/>
  <c r="AB46" s="1"/>
  <c r="W46"/>
  <c r="Q46"/>
  <c r="M46"/>
  <c r="Z46" s="1"/>
  <c r="J46"/>
  <c r="K46" s="1"/>
  <c r="H46"/>
  <c r="T46" s="1"/>
  <c r="AA45"/>
  <c r="AB45" s="1"/>
  <c r="V45"/>
  <c r="W45" s="1"/>
  <c r="Q45"/>
  <c r="N45"/>
  <c r="M45"/>
  <c r="Z45" s="1"/>
  <c r="K45"/>
  <c r="J45"/>
  <c r="H45"/>
  <c r="T45" s="1"/>
  <c r="AA44"/>
  <c r="AB44" s="1"/>
  <c r="W44"/>
  <c r="Q44"/>
  <c r="M44"/>
  <c r="N44" s="1"/>
  <c r="Z44" s="1"/>
  <c r="J44"/>
  <c r="K44" s="1"/>
  <c r="H44"/>
  <c r="T44" s="1"/>
  <c r="AC44" s="1"/>
  <c r="W43"/>
  <c r="Q43"/>
  <c r="M43"/>
  <c r="N43" s="1"/>
  <c r="Z43" s="1"/>
  <c r="J43"/>
  <c r="K43" s="1"/>
  <c r="H43"/>
  <c r="T43" s="1"/>
  <c r="W42"/>
  <c r="Q42"/>
  <c r="M42"/>
  <c r="N42" s="1"/>
  <c r="Z42" s="1"/>
  <c r="J42"/>
  <c r="K42" s="1"/>
  <c r="H42"/>
  <c r="T42" s="1"/>
  <c r="AC42" s="1"/>
  <c r="AA41"/>
  <c r="AB41" s="1"/>
  <c r="W41"/>
  <c r="Q41"/>
  <c r="M41"/>
  <c r="Z41" s="1"/>
  <c r="J41"/>
  <c r="K41" s="1"/>
  <c r="H41"/>
  <c r="T41" s="1"/>
  <c r="AA40"/>
  <c r="AB40" s="1"/>
  <c r="W40"/>
  <c r="Q40"/>
  <c r="M40"/>
  <c r="Z40" s="1"/>
  <c r="J40"/>
  <c r="K40" s="1"/>
  <c r="H40"/>
  <c r="T40" s="1"/>
  <c r="AA39"/>
  <c r="AB39" s="1"/>
  <c r="V39"/>
  <c r="W39" s="1"/>
  <c r="Q39"/>
  <c r="M39"/>
  <c r="N39" s="1"/>
  <c r="J39"/>
  <c r="K39" s="1"/>
  <c r="H39"/>
  <c r="T39" s="1"/>
  <c r="AA38"/>
  <c r="AB38" s="1"/>
  <c r="W38"/>
  <c r="Q38"/>
  <c r="M38"/>
  <c r="N38" s="1"/>
  <c r="Z38" s="1"/>
  <c r="J38"/>
  <c r="K38" s="1"/>
  <c r="H38"/>
  <c r="T38" s="1"/>
  <c r="AA37"/>
  <c r="AB37" s="1"/>
  <c r="W37"/>
  <c r="Q37"/>
  <c r="M37"/>
  <c r="N37" s="1"/>
  <c r="Z37" s="1"/>
  <c r="J37"/>
  <c r="K37" s="1"/>
  <c r="H37"/>
  <c r="T37" s="1"/>
  <c r="AA36"/>
  <c r="AB36" s="1"/>
  <c r="W36"/>
  <c r="Q36"/>
  <c r="M36"/>
  <c r="N36" s="1"/>
  <c r="Z36" s="1"/>
  <c r="J36"/>
  <c r="K36" s="1"/>
  <c r="H36"/>
  <c r="T36" s="1"/>
  <c r="AA35"/>
  <c r="AB35" s="1"/>
  <c r="V35"/>
  <c r="W35" s="1"/>
  <c r="Q35"/>
  <c r="M35"/>
  <c r="Z35" s="1"/>
  <c r="L35"/>
  <c r="J35"/>
  <c r="H35"/>
  <c r="T35" s="1"/>
  <c r="AA34"/>
  <c r="AB34" s="1"/>
  <c r="W34"/>
  <c r="Q34"/>
  <c r="M34"/>
  <c r="Z34" s="1"/>
  <c r="J34"/>
  <c r="K34" s="1"/>
  <c r="H34"/>
  <c r="T34" s="1"/>
  <c r="AA33"/>
  <c r="AB33" s="1"/>
  <c r="W33"/>
  <c r="Q33"/>
  <c r="M33"/>
  <c r="N33" s="1"/>
  <c r="Z33" s="1"/>
  <c r="J33"/>
  <c r="K33" s="1"/>
  <c r="H33"/>
  <c r="T33" s="1"/>
  <c r="W32"/>
  <c r="Q32"/>
  <c r="M32"/>
  <c r="N32" s="1"/>
  <c r="Z32" s="1"/>
  <c r="J32"/>
  <c r="K32" s="1"/>
  <c r="H32"/>
  <c r="T32" s="1"/>
  <c r="W31"/>
  <c r="Q31"/>
  <c r="M31"/>
  <c r="N31" s="1"/>
  <c r="Z31" s="1"/>
  <c r="J31"/>
  <c r="K31" s="1"/>
  <c r="H31"/>
  <c r="T31" s="1"/>
  <c r="AC31" s="1"/>
  <c r="AA30"/>
  <c r="AB30" s="1"/>
  <c r="W30"/>
  <c r="Q30"/>
  <c r="M30"/>
  <c r="N30" s="1"/>
  <c r="Z30" s="1"/>
  <c r="J30"/>
  <c r="K30" s="1"/>
  <c r="H30"/>
  <c r="T30" s="1"/>
  <c r="AB29"/>
  <c r="AA29"/>
  <c r="V29"/>
  <c r="W29" s="1"/>
  <c r="Q29"/>
  <c r="M29"/>
  <c r="Z29" s="1"/>
  <c r="J29"/>
  <c r="K29" s="1"/>
  <c r="H29"/>
  <c r="T29" s="1"/>
  <c r="AC29" s="1"/>
  <c r="AA28"/>
  <c r="AB28" s="1"/>
  <c r="V28"/>
  <c r="W28" s="1"/>
  <c r="Q28"/>
  <c r="M28"/>
  <c r="N28" s="1"/>
  <c r="Z28" s="1"/>
  <c r="J28"/>
  <c r="H28"/>
  <c r="T28" s="1"/>
  <c r="AA27"/>
  <c r="AB27" s="1"/>
  <c r="W27"/>
  <c r="Q27"/>
  <c r="M27"/>
  <c r="Z27" s="1"/>
  <c r="J27"/>
  <c r="K27" s="1"/>
  <c r="H27"/>
  <c r="T27" s="1"/>
  <c r="AA26"/>
  <c r="AB26" s="1"/>
  <c r="W26"/>
  <c r="Q26"/>
  <c r="M26"/>
  <c r="Z26" s="1"/>
  <c r="J26"/>
  <c r="H26"/>
  <c r="T26" s="1"/>
  <c r="AC26" s="1"/>
  <c r="AA25"/>
  <c r="AB25" s="1"/>
  <c r="V25"/>
  <c r="W25" s="1"/>
  <c r="Q25"/>
  <c r="M25"/>
  <c r="Z25" s="1"/>
  <c r="J25"/>
  <c r="K25" s="1"/>
  <c r="H25"/>
  <c r="T25" s="1"/>
  <c r="AA24"/>
  <c r="AB24" s="1"/>
  <c r="W24"/>
  <c r="Q24"/>
  <c r="M24"/>
  <c r="Z24" s="1"/>
  <c r="J24"/>
  <c r="K24" s="1"/>
  <c r="H24"/>
  <c r="T24" s="1"/>
  <c r="W23"/>
  <c r="Q23"/>
  <c r="M23"/>
  <c r="Z23" s="1"/>
  <c r="J23"/>
  <c r="K23" s="1"/>
  <c r="H23"/>
  <c r="T23" s="1"/>
  <c r="AC23" s="1"/>
  <c r="W22"/>
  <c r="Q22"/>
  <c r="M22"/>
  <c r="N22" s="1"/>
  <c r="Z22" s="1"/>
  <c r="J22"/>
  <c r="K22" s="1"/>
  <c r="H22"/>
  <c r="T22" s="1"/>
  <c r="AA21"/>
  <c r="AB21" s="1"/>
  <c r="W21"/>
  <c r="Q21"/>
  <c r="M21"/>
  <c r="Z21" s="1"/>
  <c r="J21"/>
  <c r="H21"/>
  <c r="T21" s="1"/>
  <c r="AC21" s="1"/>
  <c r="AA20"/>
  <c r="AB20" s="1"/>
  <c r="V20"/>
  <c r="W20" s="1"/>
  <c r="Q20"/>
  <c r="M20"/>
  <c r="Z20" s="1"/>
  <c r="J20"/>
  <c r="K20" s="1"/>
  <c r="H20"/>
  <c r="T20" s="1"/>
  <c r="AA19"/>
  <c r="AB19" s="1"/>
  <c r="V19"/>
  <c r="W19" s="1"/>
  <c r="Q19"/>
  <c r="M19"/>
  <c r="N19" s="1"/>
  <c r="Z19" s="1"/>
  <c r="J19"/>
  <c r="K19" s="1"/>
  <c r="H19"/>
  <c r="T19" s="1"/>
  <c r="V18"/>
  <c r="W18" s="1"/>
  <c r="Q18"/>
  <c r="M18"/>
  <c r="Z18" s="1"/>
  <c r="J18"/>
  <c r="H18"/>
  <c r="T18" s="1"/>
  <c r="AA17"/>
  <c r="AB17" s="1"/>
  <c r="Y17"/>
  <c r="V17"/>
  <c r="W17" s="1"/>
  <c r="Q17"/>
  <c r="M17"/>
  <c r="N17" s="1"/>
  <c r="L17"/>
  <c r="J17"/>
  <c r="K17" s="1"/>
  <c r="H17"/>
  <c r="T17" s="1"/>
  <c r="V16"/>
  <c r="W16" s="1"/>
  <c r="Q16"/>
  <c r="M16"/>
  <c r="Z16" s="1"/>
  <c r="J16"/>
  <c r="H16"/>
  <c r="T16" s="1"/>
  <c r="AC16" s="1"/>
  <c r="AA15"/>
  <c r="AB15" s="1"/>
  <c r="W15"/>
  <c r="V15"/>
  <c r="Q15"/>
  <c r="M15"/>
  <c r="N15" s="1"/>
  <c r="Z15" s="1"/>
  <c r="J15"/>
  <c r="K15" s="1"/>
  <c r="H15"/>
  <c r="T15" s="1"/>
  <c r="AA14"/>
  <c r="AB14" s="1"/>
  <c r="V14"/>
  <c r="W14" s="1"/>
  <c r="Q14"/>
  <c r="M14"/>
  <c r="Z14" s="1"/>
  <c r="J14"/>
  <c r="K14" s="1"/>
  <c r="H14"/>
  <c r="T14" s="1"/>
  <c r="AA13"/>
  <c r="AB13" s="1"/>
  <c r="V13"/>
  <c r="W13" s="1"/>
  <c r="Q13"/>
  <c r="M13"/>
  <c r="Z13" s="1"/>
  <c r="J13"/>
  <c r="K13" s="1"/>
  <c r="H13"/>
  <c r="T13" s="1"/>
  <c r="AA12"/>
  <c r="AB12" s="1"/>
  <c r="V12"/>
  <c r="W12" s="1"/>
  <c r="Q12"/>
  <c r="M12"/>
  <c r="Z12" s="1"/>
  <c r="J12"/>
  <c r="K12" s="1"/>
  <c r="H12"/>
  <c r="T12" s="1"/>
  <c r="AA11"/>
  <c r="AB11" s="1"/>
  <c r="W11"/>
  <c r="Q11"/>
  <c r="M11"/>
  <c r="N11" s="1"/>
  <c r="Z11" s="1"/>
  <c r="J11"/>
  <c r="K11" s="1"/>
  <c r="H11"/>
  <c r="T11" s="1"/>
  <c r="AC11" s="1"/>
  <c r="AA10"/>
  <c r="W10"/>
  <c r="Q10"/>
  <c r="M10"/>
  <c r="Z10" s="1"/>
  <c r="J10"/>
  <c r="K10" s="1"/>
  <c r="H10"/>
  <c r="T10" s="1"/>
  <c r="AC10" s="1"/>
  <c r="W9"/>
  <c r="Q9"/>
  <c r="M9"/>
  <c r="Z9" s="1"/>
  <c r="J9"/>
  <c r="H9"/>
  <c r="T9" s="1"/>
  <c r="AC9" s="1"/>
  <c r="W8"/>
  <c r="Q8"/>
  <c r="M8"/>
  <c r="Z8" s="1"/>
  <c r="K8"/>
  <c r="J8"/>
  <c r="H8"/>
  <c r="T8" s="1"/>
  <c r="V7"/>
  <c r="W7" s="1"/>
  <c r="Q7"/>
  <c r="M7"/>
  <c r="N7" s="1"/>
  <c r="J7"/>
  <c r="H7"/>
  <c r="T7" s="1"/>
  <c r="AA6"/>
  <c r="AB6" s="1"/>
  <c r="Y6"/>
  <c r="V6"/>
  <c r="W6" s="1"/>
  <c r="Q6"/>
  <c r="M6"/>
  <c r="N6" s="1"/>
  <c r="J6"/>
  <c r="K6" s="1"/>
  <c r="H6"/>
  <c r="T6" s="1"/>
  <c r="AB5"/>
  <c r="V5"/>
  <c r="W5" s="1"/>
  <c r="Q5"/>
  <c r="M5"/>
  <c r="Z5" s="1"/>
  <c r="J5"/>
  <c r="K5" s="1"/>
  <c r="H5"/>
  <c r="T5" s="1"/>
  <c r="AC5" s="1"/>
  <c r="AI4"/>
  <c r="W4"/>
  <c r="S4"/>
  <c r="Q4"/>
  <c r="M4"/>
  <c r="N4" s="1"/>
  <c r="Z4" s="1"/>
  <c r="J4"/>
  <c r="K4" s="1"/>
  <c r="H4"/>
  <c r="T4" s="1"/>
  <c r="Y189" i="1"/>
  <c r="Y86"/>
  <c r="X86"/>
  <c r="Y83"/>
  <c r="Y173"/>
  <c r="X197" i="5"/>
  <c r="Y197" s="1"/>
  <c r="S197"/>
  <c r="T197" s="1"/>
  <c r="N197"/>
  <c r="J197"/>
  <c r="W197" s="1"/>
  <c r="I197"/>
  <c r="G197"/>
  <c r="E197"/>
  <c r="Q197" s="1"/>
  <c r="X196"/>
  <c r="Y196" s="1"/>
  <c r="V196"/>
  <c r="W196" s="1"/>
  <c r="S196"/>
  <c r="T196" s="1"/>
  <c r="N196"/>
  <c r="J196"/>
  <c r="K196" s="1"/>
  <c r="G196"/>
  <c r="H196" s="1"/>
  <c r="E196"/>
  <c r="Q196" s="1"/>
  <c r="Y195"/>
  <c r="S195"/>
  <c r="T195" s="1"/>
  <c r="N195"/>
  <c r="J195"/>
  <c r="W195" s="1"/>
  <c r="G195"/>
  <c r="H195" s="1"/>
  <c r="E195"/>
  <c r="Q195" s="1"/>
  <c r="Y194"/>
  <c r="X194"/>
  <c r="S194"/>
  <c r="T194" s="1"/>
  <c r="N194"/>
  <c r="J194"/>
  <c r="W194" s="1"/>
  <c r="G194"/>
  <c r="H194" s="1"/>
  <c r="E194"/>
  <c r="Q194" s="1"/>
  <c r="O194" s="1"/>
  <c r="Y193"/>
  <c r="V193"/>
  <c r="S193"/>
  <c r="T193" s="1"/>
  <c r="N193"/>
  <c r="J193"/>
  <c r="K193" s="1"/>
  <c r="G193"/>
  <c r="H193" s="1"/>
  <c r="E193"/>
  <c r="Q193" s="1"/>
  <c r="T192"/>
  <c r="N192"/>
  <c r="J192"/>
  <c r="K192" s="1"/>
  <c r="W192" s="1"/>
  <c r="G192"/>
  <c r="E192"/>
  <c r="Q192" s="1"/>
  <c r="T191"/>
  <c r="N191"/>
  <c r="J191"/>
  <c r="W191" s="1"/>
  <c r="G191"/>
  <c r="H191" s="1"/>
  <c r="E191"/>
  <c r="Q191" s="1"/>
  <c r="O191" s="1"/>
  <c r="X190"/>
  <c r="Y190" s="1"/>
  <c r="S190"/>
  <c r="T190" s="1"/>
  <c r="N190"/>
  <c r="J190"/>
  <c r="W190" s="1"/>
  <c r="G190"/>
  <c r="H190" s="1"/>
  <c r="E190"/>
  <c r="Q190" s="1"/>
  <c r="X189"/>
  <c r="Y189" s="1"/>
  <c r="S189"/>
  <c r="T189" s="1"/>
  <c r="N189"/>
  <c r="J189"/>
  <c r="W189" s="1"/>
  <c r="G189"/>
  <c r="H189" s="1"/>
  <c r="E189"/>
  <c r="Q189" s="1"/>
  <c r="X188"/>
  <c r="Y188" s="1"/>
  <c r="S188"/>
  <c r="T188" s="1"/>
  <c r="N188"/>
  <c r="J188"/>
  <c r="W188" s="1"/>
  <c r="G188"/>
  <c r="H188" s="1"/>
  <c r="E188"/>
  <c r="Q188" s="1"/>
  <c r="Y187"/>
  <c r="V187"/>
  <c r="S187"/>
  <c r="T187" s="1"/>
  <c r="N187"/>
  <c r="J187"/>
  <c r="K187" s="1"/>
  <c r="G187"/>
  <c r="H187" s="1"/>
  <c r="E187"/>
  <c r="Q187" s="1"/>
  <c r="X186"/>
  <c r="Y186" s="1"/>
  <c r="S186"/>
  <c r="T186" s="1"/>
  <c r="N186"/>
  <c r="J186"/>
  <c r="W186" s="1"/>
  <c r="G186"/>
  <c r="H186" s="1"/>
  <c r="E186"/>
  <c r="Q186" s="1"/>
  <c r="X185"/>
  <c r="Y185" s="1"/>
  <c r="T185"/>
  <c r="N185"/>
  <c r="J185"/>
  <c r="W185" s="1"/>
  <c r="G185"/>
  <c r="H185" s="1"/>
  <c r="E185"/>
  <c r="Q185" s="1"/>
  <c r="T184"/>
  <c r="N184"/>
  <c r="J184"/>
  <c r="K184" s="1"/>
  <c r="W184" s="1"/>
  <c r="G184"/>
  <c r="E184"/>
  <c r="Q184" s="1"/>
  <c r="X183"/>
  <c r="Y183" s="1"/>
  <c r="T183"/>
  <c r="N183"/>
  <c r="J183"/>
  <c r="K183" s="1"/>
  <c r="W183" s="1"/>
  <c r="G183"/>
  <c r="H183" s="1"/>
  <c r="E183"/>
  <c r="Q183" s="1"/>
  <c r="X182"/>
  <c r="Y182" s="1"/>
  <c r="V182"/>
  <c r="S182"/>
  <c r="T182" s="1"/>
  <c r="N182"/>
  <c r="J182"/>
  <c r="K182" s="1"/>
  <c r="G182"/>
  <c r="H182" s="1"/>
  <c r="E182"/>
  <c r="Q182" s="1"/>
  <c r="X181"/>
  <c r="Y181" s="1"/>
  <c r="T181"/>
  <c r="N181"/>
  <c r="J181"/>
  <c r="W181" s="1"/>
  <c r="G181"/>
  <c r="H181" s="1"/>
  <c r="E181"/>
  <c r="Q181" s="1"/>
  <c r="S180"/>
  <c r="T180" s="1"/>
  <c r="N180"/>
  <c r="J180"/>
  <c r="W180" s="1"/>
  <c r="G180"/>
  <c r="E180"/>
  <c r="Q180" s="1"/>
  <c r="T179"/>
  <c r="N179"/>
  <c r="J179"/>
  <c r="K179" s="1"/>
  <c r="W179" s="1"/>
  <c r="G179"/>
  <c r="E179"/>
  <c r="Q179" s="1"/>
  <c r="O179" s="1"/>
  <c r="T178"/>
  <c r="N178"/>
  <c r="J178"/>
  <c r="K178" s="1"/>
  <c r="W178" s="1"/>
  <c r="G178"/>
  <c r="H178" s="1"/>
  <c r="E178"/>
  <c r="Q178" s="1"/>
  <c r="X177"/>
  <c r="Y177" s="1"/>
  <c r="T177"/>
  <c r="N177"/>
  <c r="J177"/>
  <c r="W177" s="1"/>
  <c r="G177"/>
  <c r="H177" s="1"/>
  <c r="E177"/>
  <c r="Q177" s="1"/>
  <c r="X176"/>
  <c r="Y176" s="1"/>
  <c r="T176"/>
  <c r="N176"/>
  <c r="J176"/>
  <c r="W176" s="1"/>
  <c r="G176"/>
  <c r="H176" s="1"/>
  <c r="E176"/>
  <c r="Q176" s="1"/>
  <c r="X175"/>
  <c r="Y175" s="1"/>
  <c r="T175"/>
  <c r="N175"/>
  <c r="J175"/>
  <c r="K175" s="1"/>
  <c r="W175" s="1"/>
  <c r="G175"/>
  <c r="H175" s="1"/>
  <c r="E175"/>
  <c r="Q175" s="1"/>
  <c r="X174"/>
  <c r="Y174" s="1"/>
  <c r="T174"/>
  <c r="N174"/>
  <c r="J174"/>
  <c r="K174" s="1"/>
  <c r="G174"/>
  <c r="H174" s="1"/>
  <c r="E174"/>
  <c r="Q174" s="1"/>
  <c r="Y173"/>
  <c r="X173"/>
  <c r="W173"/>
  <c r="T173"/>
  <c r="Q173"/>
  <c r="O173" s="1"/>
  <c r="N173"/>
  <c r="K173"/>
  <c r="Z173" s="1"/>
  <c r="P173" s="1"/>
  <c r="J173"/>
  <c r="G173"/>
  <c r="E173"/>
  <c r="X172"/>
  <c r="Y172" s="1"/>
  <c r="V172"/>
  <c r="T172"/>
  <c r="N172"/>
  <c r="K172"/>
  <c r="J172"/>
  <c r="H172"/>
  <c r="G172"/>
  <c r="E172"/>
  <c r="Q172" s="1"/>
  <c r="X171"/>
  <c r="Y171" s="1"/>
  <c r="S171"/>
  <c r="T171" s="1"/>
  <c r="N171"/>
  <c r="J171"/>
  <c r="W171" s="1"/>
  <c r="G171"/>
  <c r="H171" s="1"/>
  <c r="E171"/>
  <c r="Q171" s="1"/>
  <c r="X170"/>
  <c r="Y170" s="1"/>
  <c r="T170"/>
  <c r="N170"/>
  <c r="J170"/>
  <c r="K170" s="1"/>
  <c r="W170" s="1"/>
  <c r="G170"/>
  <c r="H170" s="1"/>
  <c r="E170"/>
  <c r="Q170" s="1"/>
  <c r="T169"/>
  <c r="N169"/>
  <c r="J169"/>
  <c r="K169" s="1"/>
  <c r="W169" s="1"/>
  <c r="G169"/>
  <c r="E169"/>
  <c r="Q169" s="1"/>
  <c r="O169" s="1"/>
  <c r="X168"/>
  <c r="Y168" s="1"/>
  <c r="T168"/>
  <c r="N168"/>
  <c r="J168"/>
  <c r="W168" s="1"/>
  <c r="G168"/>
  <c r="E168"/>
  <c r="Q168" s="1"/>
  <c r="T167"/>
  <c r="N167"/>
  <c r="J167"/>
  <c r="W167" s="1"/>
  <c r="G167"/>
  <c r="E167"/>
  <c r="Q167" s="1"/>
  <c r="O167" s="1"/>
  <c r="T166"/>
  <c r="N166"/>
  <c r="J166"/>
  <c r="W166" s="1"/>
  <c r="G166"/>
  <c r="E166"/>
  <c r="Q166" s="1"/>
  <c r="O166" s="1"/>
  <c r="T165"/>
  <c r="N165"/>
  <c r="J165"/>
  <c r="W165" s="1"/>
  <c r="G165"/>
  <c r="E165"/>
  <c r="Q165" s="1"/>
  <c r="O165" s="1"/>
  <c r="T164"/>
  <c r="N164"/>
  <c r="J164"/>
  <c r="W164" s="1"/>
  <c r="G164"/>
  <c r="H164" s="1"/>
  <c r="E164"/>
  <c r="Q164" s="1"/>
  <c r="X163"/>
  <c r="Y163" s="1"/>
  <c r="S163"/>
  <c r="T163" s="1"/>
  <c r="N163"/>
  <c r="J163"/>
  <c r="W163" s="1"/>
  <c r="G163"/>
  <c r="H163" s="1"/>
  <c r="E163"/>
  <c r="Q163" s="1"/>
  <c r="X162"/>
  <c r="Y162" s="1"/>
  <c r="S162"/>
  <c r="T162" s="1"/>
  <c r="N162"/>
  <c r="J162"/>
  <c r="W162" s="1"/>
  <c r="G162"/>
  <c r="H162" s="1"/>
  <c r="E162"/>
  <c r="Q162" s="1"/>
  <c r="Y161"/>
  <c r="V161"/>
  <c r="T161"/>
  <c r="N161"/>
  <c r="J161"/>
  <c r="K161" s="1"/>
  <c r="G161"/>
  <c r="H161" s="1"/>
  <c r="E161"/>
  <c r="Q161" s="1"/>
  <c r="T160"/>
  <c r="N160"/>
  <c r="J160"/>
  <c r="K160" s="1"/>
  <c r="W160" s="1"/>
  <c r="G160"/>
  <c r="E160"/>
  <c r="Q160" s="1"/>
  <c r="T159"/>
  <c r="N159"/>
  <c r="J159"/>
  <c r="K159" s="1"/>
  <c r="W159" s="1"/>
  <c r="G159"/>
  <c r="E159"/>
  <c r="Q159" s="1"/>
  <c r="O159" s="1"/>
  <c r="X158"/>
  <c r="Y158" s="1"/>
  <c r="S158"/>
  <c r="T158" s="1"/>
  <c r="N158"/>
  <c r="J158"/>
  <c r="W158" s="1"/>
  <c r="G158"/>
  <c r="H158" s="1"/>
  <c r="E158"/>
  <c r="Q158" s="1"/>
  <c r="X157"/>
  <c r="Y157" s="1"/>
  <c r="S157"/>
  <c r="T157" s="1"/>
  <c r="N157"/>
  <c r="J157"/>
  <c r="W157" s="1"/>
  <c r="G157"/>
  <c r="H157" s="1"/>
  <c r="E157"/>
  <c r="Q157" s="1"/>
  <c r="X156"/>
  <c r="Y156" s="1"/>
  <c r="V156"/>
  <c r="S156"/>
  <c r="T156" s="1"/>
  <c r="N156"/>
  <c r="J156"/>
  <c r="K156" s="1"/>
  <c r="I156"/>
  <c r="G156"/>
  <c r="E156"/>
  <c r="Q156" s="1"/>
  <c r="N155"/>
  <c r="J155"/>
  <c r="K155" s="1"/>
  <c r="W155" s="1"/>
  <c r="G155"/>
  <c r="H155" s="1"/>
  <c r="E155"/>
  <c r="Q155" s="1"/>
  <c r="X154"/>
  <c r="Y154" s="1"/>
  <c r="T154"/>
  <c r="N154"/>
  <c r="J154"/>
  <c r="W154" s="1"/>
  <c r="G154"/>
  <c r="H154" s="1"/>
  <c r="E154"/>
  <c r="Q154" s="1"/>
  <c r="X153"/>
  <c r="Y153" s="1"/>
  <c r="S153"/>
  <c r="T153" s="1"/>
  <c r="N153"/>
  <c r="J153"/>
  <c r="W153" s="1"/>
  <c r="G153"/>
  <c r="E153"/>
  <c r="Q153" s="1"/>
  <c r="X152"/>
  <c r="Y152" s="1"/>
  <c r="T152"/>
  <c r="N152"/>
  <c r="J152"/>
  <c r="K152" s="1"/>
  <c r="G152"/>
  <c r="H152" s="1"/>
  <c r="E152"/>
  <c r="Q152" s="1"/>
  <c r="X151"/>
  <c r="Y151" s="1"/>
  <c r="S151"/>
  <c r="T151" s="1"/>
  <c r="N151"/>
  <c r="J151"/>
  <c r="W151" s="1"/>
  <c r="G151"/>
  <c r="E151"/>
  <c r="Q151" s="1"/>
  <c r="T150"/>
  <c r="N150"/>
  <c r="J150"/>
  <c r="K150" s="1"/>
  <c r="W150" s="1"/>
  <c r="G150"/>
  <c r="E150"/>
  <c r="Q150" s="1"/>
  <c r="T149"/>
  <c r="N149"/>
  <c r="J149"/>
  <c r="K149" s="1"/>
  <c r="W149" s="1"/>
  <c r="G149"/>
  <c r="E149"/>
  <c r="Q149" s="1"/>
  <c r="O149" s="1"/>
  <c r="T148"/>
  <c r="N148"/>
  <c r="J148"/>
  <c r="K148" s="1"/>
  <c r="W148" s="1"/>
  <c r="G148"/>
  <c r="E148"/>
  <c r="Q148" s="1"/>
  <c r="T147"/>
  <c r="N147"/>
  <c r="J147"/>
  <c r="K147" s="1"/>
  <c r="W147" s="1"/>
  <c r="G147"/>
  <c r="H147" s="1"/>
  <c r="E147"/>
  <c r="Q147" s="1"/>
  <c r="O147" s="1"/>
  <c r="X146"/>
  <c r="Y146" s="1"/>
  <c r="S146"/>
  <c r="T146" s="1"/>
  <c r="N146"/>
  <c r="J146"/>
  <c r="W146" s="1"/>
  <c r="G146"/>
  <c r="H146" s="1"/>
  <c r="E146"/>
  <c r="Q146" s="1"/>
  <c r="X145"/>
  <c r="Y145" s="1"/>
  <c r="S145"/>
  <c r="T145" s="1"/>
  <c r="N145"/>
  <c r="J145"/>
  <c r="W145" s="1"/>
  <c r="G145"/>
  <c r="H145" s="1"/>
  <c r="E145"/>
  <c r="Q145" s="1"/>
  <c r="S144"/>
  <c r="T144" s="1"/>
  <c r="N144"/>
  <c r="K144"/>
  <c r="J144"/>
  <c r="W144" s="1"/>
  <c r="H144"/>
  <c r="G144"/>
  <c r="E144"/>
  <c r="Q144" s="1"/>
  <c r="X143"/>
  <c r="Y143" s="1"/>
  <c r="T143"/>
  <c r="N143"/>
  <c r="K143"/>
  <c r="J143"/>
  <c r="W143" s="1"/>
  <c r="H143"/>
  <c r="G143"/>
  <c r="E143"/>
  <c r="Q143" s="1"/>
  <c r="X142"/>
  <c r="Y142" s="1"/>
  <c r="T142"/>
  <c r="N142"/>
  <c r="K142"/>
  <c r="J142"/>
  <c r="W142" s="1"/>
  <c r="H142"/>
  <c r="G142"/>
  <c r="E142"/>
  <c r="Q142" s="1"/>
  <c r="X141"/>
  <c r="Y141" s="1"/>
  <c r="V141"/>
  <c r="S141"/>
  <c r="T141" s="1"/>
  <c r="N141"/>
  <c r="J141"/>
  <c r="K141" s="1"/>
  <c r="G141"/>
  <c r="H141" s="1"/>
  <c r="E141"/>
  <c r="Q141" s="1"/>
  <c r="X140"/>
  <c r="Y140" s="1"/>
  <c r="S140"/>
  <c r="T140" s="1"/>
  <c r="N140"/>
  <c r="J140"/>
  <c r="W140" s="1"/>
  <c r="G140"/>
  <c r="H140" s="1"/>
  <c r="E140"/>
  <c r="Q140" s="1"/>
  <c r="X139"/>
  <c r="Y139" s="1"/>
  <c r="T139"/>
  <c r="N139"/>
  <c r="J139"/>
  <c r="W139" s="1"/>
  <c r="G139"/>
  <c r="H139" s="1"/>
  <c r="E139"/>
  <c r="Q139" s="1"/>
  <c r="T138"/>
  <c r="N138"/>
  <c r="J138"/>
  <c r="W138" s="1"/>
  <c r="G138"/>
  <c r="H138" s="1"/>
  <c r="E138"/>
  <c r="Q138" s="1"/>
  <c r="O138" s="1"/>
  <c r="X137"/>
  <c r="Y137" s="1"/>
  <c r="T137"/>
  <c r="S137"/>
  <c r="N137"/>
  <c r="J137"/>
  <c r="W137" s="1"/>
  <c r="G137"/>
  <c r="H137" s="1"/>
  <c r="E137"/>
  <c r="Q137" s="1"/>
  <c r="T136"/>
  <c r="N136"/>
  <c r="J136"/>
  <c r="K136" s="1"/>
  <c r="W136" s="1"/>
  <c r="G136"/>
  <c r="E136"/>
  <c r="Q136" s="1"/>
  <c r="X135"/>
  <c r="Y135" s="1"/>
  <c r="V135"/>
  <c r="W135" s="1"/>
  <c r="S135"/>
  <c r="T135" s="1"/>
  <c r="N135"/>
  <c r="J135"/>
  <c r="K135" s="1"/>
  <c r="G135"/>
  <c r="H135" s="1"/>
  <c r="E135"/>
  <c r="Q135" s="1"/>
  <c r="T134"/>
  <c r="N134"/>
  <c r="J134"/>
  <c r="W134" s="1"/>
  <c r="G134"/>
  <c r="E134"/>
  <c r="Q134" s="1"/>
  <c r="O134" s="1"/>
  <c r="X133"/>
  <c r="Y133" s="1"/>
  <c r="S133"/>
  <c r="T133" s="1"/>
  <c r="N133"/>
  <c r="J133"/>
  <c r="W133" s="1"/>
  <c r="G133"/>
  <c r="H133" s="1"/>
  <c r="E133"/>
  <c r="Q133" s="1"/>
  <c r="T132"/>
  <c r="N132"/>
  <c r="J132"/>
  <c r="K132" s="1"/>
  <c r="W132" s="1"/>
  <c r="G132"/>
  <c r="E132"/>
  <c r="Q132" s="1"/>
  <c r="O132" s="1"/>
  <c r="Y131"/>
  <c r="V131"/>
  <c r="S131"/>
  <c r="T131" s="1"/>
  <c r="N131"/>
  <c r="J131"/>
  <c r="K131" s="1"/>
  <c r="G131"/>
  <c r="H131" s="1"/>
  <c r="E131"/>
  <c r="Q131" s="1"/>
  <c r="T130"/>
  <c r="N130"/>
  <c r="J130"/>
  <c r="K130" s="1"/>
  <c r="W130" s="1"/>
  <c r="G130"/>
  <c r="H130" s="1"/>
  <c r="E130"/>
  <c r="Q130" s="1"/>
  <c r="O130" s="1"/>
  <c r="X129"/>
  <c r="Y129" s="1"/>
  <c r="T129"/>
  <c r="N129"/>
  <c r="J129"/>
  <c r="G129"/>
  <c r="H129" s="1"/>
  <c r="E129"/>
  <c r="Y128"/>
  <c r="X128"/>
  <c r="S128"/>
  <c r="T128" s="1"/>
  <c r="N128"/>
  <c r="J128"/>
  <c r="K128" s="1"/>
  <c r="G128"/>
  <c r="E128"/>
  <c r="Q128" s="1"/>
  <c r="X127"/>
  <c r="Y127" s="1"/>
  <c r="S127"/>
  <c r="T127" s="1"/>
  <c r="N127"/>
  <c r="J127"/>
  <c r="K127" s="1"/>
  <c r="G127"/>
  <c r="H127" s="1"/>
  <c r="E127"/>
  <c r="Q127" s="1"/>
  <c r="T126"/>
  <c r="N126"/>
  <c r="J126"/>
  <c r="K126" s="1"/>
  <c r="W126" s="1"/>
  <c r="G126"/>
  <c r="H126" s="1"/>
  <c r="E126"/>
  <c r="Q126" s="1"/>
  <c r="O126" s="1"/>
  <c r="T125"/>
  <c r="N125"/>
  <c r="J125"/>
  <c r="K125" s="1"/>
  <c r="W125" s="1"/>
  <c r="G125"/>
  <c r="E125"/>
  <c r="Q125" s="1"/>
  <c r="O125" s="1"/>
  <c r="X124"/>
  <c r="Y124" s="1"/>
  <c r="T124"/>
  <c r="N124"/>
  <c r="J124"/>
  <c r="K124" s="1"/>
  <c r="G124"/>
  <c r="H124" s="1"/>
  <c r="E124"/>
  <c r="Q124" s="1"/>
  <c r="X123"/>
  <c r="Y123" s="1"/>
  <c r="T123"/>
  <c r="N123"/>
  <c r="J123"/>
  <c r="K123" s="1"/>
  <c r="G123"/>
  <c r="H123" s="1"/>
  <c r="E123"/>
  <c r="Q123" s="1"/>
  <c r="X122"/>
  <c r="Y122" s="1"/>
  <c r="T122"/>
  <c r="N122"/>
  <c r="J122"/>
  <c r="K122" s="1"/>
  <c r="G122"/>
  <c r="H122" s="1"/>
  <c r="E122"/>
  <c r="Q122" s="1"/>
  <c r="S121"/>
  <c r="T121" s="1"/>
  <c r="N121"/>
  <c r="J121"/>
  <c r="K121" s="1"/>
  <c r="G121"/>
  <c r="H121" s="1"/>
  <c r="E121"/>
  <c r="Q121" s="1"/>
  <c r="T120"/>
  <c r="N120"/>
  <c r="J120"/>
  <c r="K120" s="1"/>
  <c r="W120" s="1"/>
  <c r="G120"/>
  <c r="H120" s="1"/>
  <c r="E120"/>
  <c r="Q120" s="1"/>
  <c r="O120" s="1"/>
  <c r="T119"/>
  <c r="N119"/>
  <c r="J119"/>
  <c r="K119" s="1"/>
  <c r="W119" s="1"/>
  <c r="G119"/>
  <c r="E119"/>
  <c r="Q119" s="1"/>
  <c r="O119" s="1"/>
  <c r="X118"/>
  <c r="Y118" s="1"/>
  <c r="T118"/>
  <c r="N118"/>
  <c r="J118"/>
  <c r="W118" s="1"/>
  <c r="G118"/>
  <c r="H118" s="1"/>
  <c r="E118"/>
  <c r="Q118" s="1"/>
  <c r="T117"/>
  <c r="N117"/>
  <c r="J117"/>
  <c r="K117" s="1"/>
  <c r="W117" s="1"/>
  <c r="G117"/>
  <c r="E117"/>
  <c r="Q117" s="1"/>
  <c r="X116"/>
  <c r="Y116" s="1"/>
  <c r="S116"/>
  <c r="T116" s="1"/>
  <c r="N116"/>
  <c r="J116"/>
  <c r="W116" s="1"/>
  <c r="G116"/>
  <c r="H116" s="1"/>
  <c r="E116"/>
  <c r="Q116" s="1"/>
  <c r="X115"/>
  <c r="Y115" s="1"/>
  <c r="T115"/>
  <c r="N115"/>
  <c r="J115"/>
  <c r="W115" s="1"/>
  <c r="G115"/>
  <c r="E115"/>
  <c r="Q115" s="1"/>
  <c r="T114"/>
  <c r="N114"/>
  <c r="J114"/>
  <c r="K114" s="1"/>
  <c r="W114" s="1"/>
  <c r="G114"/>
  <c r="H114" s="1"/>
  <c r="E114"/>
  <c r="Q114" s="1"/>
  <c r="O114" s="1"/>
  <c r="T113"/>
  <c r="N113"/>
  <c r="J113"/>
  <c r="K113" s="1"/>
  <c r="W113" s="1"/>
  <c r="G113"/>
  <c r="E113"/>
  <c r="Q113" s="1"/>
  <c r="O113" s="1"/>
  <c r="X112"/>
  <c r="Y112" s="1"/>
  <c r="S112"/>
  <c r="T112" s="1"/>
  <c r="N112"/>
  <c r="J112"/>
  <c r="K112" s="1"/>
  <c r="G112"/>
  <c r="E112"/>
  <c r="Q112" s="1"/>
  <c r="X111"/>
  <c r="Y111" s="1"/>
  <c r="T111"/>
  <c r="N111"/>
  <c r="J111"/>
  <c r="K111" s="1"/>
  <c r="G111"/>
  <c r="H111" s="1"/>
  <c r="E111"/>
  <c r="Q111" s="1"/>
  <c r="T110"/>
  <c r="N110"/>
  <c r="J110"/>
  <c r="K110" s="1"/>
  <c r="W110" s="1"/>
  <c r="G110"/>
  <c r="E110"/>
  <c r="Q110" s="1"/>
  <c r="X109"/>
  <c r="Y109" s="1"/>
  <c r="S109"/>
  <c r="T109" s="1"/>
  <c r="N109"/>
  <c r="J109"/>
  <c r="W109" s="1"/>
  <c r="G109"/>
  <c r="H109" s="1"/>
  <c r="E109"/>
  <c r="Q109" s="1"/>
  <c r="V108"/>
  <c r="S108"/>
  <c r="T108" s="1"/>
  <c r="N108"/>
  <c r="J108"/>
  <c r="K108" s="1"/>
  <c r="G108"/>
  <c r="H108" s="1"/>
  <c r="E108"/>
  <c r="Q108" s="1"/>
  <c r="X107"/>
  <c r="Y107" s="1"/>
  <c r="T107"/>
  <c r="N107"/>
  <c r="J107"/>
  <c r="K107" s="1"/>
  <c r="W107" s="1"/>
  <c r="G107"/>
  <c r="H107" s="1"/>
  <c r="E107"/>
  <c r="Q107" s="1"/>
  <c r="X106"/>
  <c r="Y106" s="1"/>
  <c r="S106"/>
  <c r="T106" s="1"/>
  <c r="N106"/>
  <c r="J106"/>
  <c r="W106" s="1"/>
  <c r="G106"/>
  <c r="H106" s="1"/>
  <c r="E106"/>
  <c r="Q106" s="1"/>
  <c r="X105"/>
  <c r="Y105" s="1"/>
  <c r="S105"/>
  <c r="T105" s="1"/>
  <c r="N105"/>
  <c r="J105"/>
  <c r="W105" s="1"/>
  <c r="G105"/>
  <c r="H105" s="1"/>
  <c r="E105"/>
  <c r="Q105" s="1"/>
  <c r="X104"/>
  <c r="Y104" s="1"/>
  <c r="S104"/>
  <c r="T104" s="1"/>
  <c r="N104"/>
  <c r="J104"/>
  <c r="W104" s="1"/>
  <c r="G104"/>
  <c r="H104" s="1"/>
  <c r="E104"/>
  <c r="Q104" s="1"/>
  <c r="S103"/>
  <c r="T103" s="1"/>
  <c r="N103"/>
  <c r="J103"/>
  <c r="K103" s="1"/>
  <c r="W103" s="1"/>
  <c r="G103"/>
  <c r="E103"/>
  <c r="Q103" s="1"/>
  <c r="O103" s="1"/>
  <c r="S102"/>
  <c r="T102" s="1"/>
  <c r="N102"/>
  <c r="J102"/>
  <c r="W102" s="1"/>
  <c r="E102"/>
  <c r="Q102" s="1"/>
  <c r="T101"/>
  <c r="N101"/>
  <c r="J101"/>
  <c r="K101" s="1"/>
  <c r="W101" s="1"/>
  <c r="G101"/>
  <c r="H101" s="1"/>
  <c r="E101"/>
  <c r="Q101" s="1"/>
  <c r="O101" s="1"/>
  <c r="X100"/>
  <c r="Y100" s="1"/>
  <c r="T100"/>
  <c r="N100"/>
  <c r="J100"/>
  <c r="K100" s="1"/>
  <c r="W100" s="1"/>
  <c r="G100"/>
  <c r="H100" s="1"/>
  <c r="E100"/>
  <c r="Q100" s="1"/>
  <c r="X99"/>
  <c r="Y99" s="1"/>
  <c r="T99"/>
  <c r="N99"/>
  <c r="J99"/>
  <c r="W99" s="1"/>
  <c r="G99"/>
  <c r="E99"/>
  <c r="Q99" s="1"/>
  <c r="X98"/>
  <c r="Y98" s="1"/>
  <c r="S98"/>
  <c r="T98" s="1"/>
  <c r="N98"/>
  <c r="J98"/>
  <c r="W98" s="1"/>
  <c r="G98"/>
  <c r="H98" s="1"/>
  <c r="E98"/>
  <c r="Q98" s="1"/>
  <c r="X97"/>
  <c r="Y97" s="1"/>
  <c r="T97"/>
  <c r="N97"/>
  <c r="J97"/>
  <c r="K97" s="1"/>
  <c r="W97" s="1"/>
  <c r="G97"/>
  <c r="H97" s="1"/>
  <c r="E97"/>
  <c r="Q97" s="1"/>
  <c r="X96"/>
  <c r="Y96" s="1"/>
  <c r="T96"/>
  <c r="N96"/>
  <c r="J96"/>
  <c r="K96" s="1"/>
  <c r="W96" s="1"/>
  <c r="G96"/>
  <c r="H96" s="1"/>
  <c r="E96"/>
  <c r="Q96" s="1"/>
  <c r="S95"/>
  <c r="T95" s="1"/>
  <c r="N95"/>
  <c r="J95"/>
  <c r="W95" s="1"/>
  <c r="G95"/>
  <c r="E95"/>
  <c r="Q95" s="1"/>
  <c r="T94"/>
  <c r="N94"/>
  <c r="J94"/>
  <c r="W94" s="1"/>
  <c r="G94"/>
  <c r="E94"/>
  <c r="Q94" s="1"/>
  <c r="O94" s="1"/>
  <c r="T93"/>
  <c r="N93"/>
  <c r="J93"/>
  <c r="K93" s="1"/>
  <c r="W93" s="1"/>
  <c r="G93"/>
  <c r="E93"/>
  <c r="Q93" s="1"/>
  <c r="X92"/>
  <c r="Y92" s="1"/>
  <c r="T92"/>
  <c r="N92"/>
  <c r="J92"/>
  <c r="W92" s="1"/>
  <c r="G92"/>
  <c r="H92" s="1"/>
  <c r="E92"/>
  <c r="Q92" s="1"/>
  <c r="X91"/>
  <c r="Y91" s="1"/>
  <c r="S91"/>
  <c r="T91" s="1"/>
  <c r="N91"/>
  <c r="J91"/>
  <c r="W91" s="1"/>
  <c r="G91"/>
  <c r="H91" s="1"/>
  <c r="E91"/>
  <c r="Q91" s="1"/>
  <c r="X90"/>
  <c r="Y90" s="1"/>
  <c r="T90"/>
  <c r="N90"/>
  <c r="J90"/>
  <c r="W90" s="1"/>
  <c r="G90"/>
  <c r="H90" s="1"/>
  <c r="E90"/>
  <c r="Q90" s="1"/>
  <c r="X89"/>
  <c r="Y89" s="1"/>
  <c r="S89"/>
  <c r="T89" s="1"/>
  <c r="N89"/>
  <c r="J89"/>
  <c r="W89" s="1"/>
  <c r="I89"/>
  <c r="G89"/>
  <c r="E89"/>
  <c r="Q89" s="1"/>
  <c r="T88"/>
  <c r="N88"/>
  <c r="J88"/>
  <c r="W88" s="1"/>
  <c r="G88"/>
  <c r="H88" s="1"/>
  <c r="E88"/>
  <c r="Q88" s="1"/>
  <c r="X87"/>
  <c r="Y87" s="1"/>
  <c r="S87"/>
  <c r="T87" s="1"/>
  <c r="N87"/>
  <c r="J87"/>
  <c r="W87" s="1"/>
  <c r="G87"/>
  <c r="H87" s="1"/>
  <c r="E87"/>
  <c r="Q87" s="1"/>
  <c r="X86"/>
  <c r="Y86" s="1"/>
  <c r="S86"/>
  <c r="T86" s="1"/>
  <c r="N86"/>
  <c r="J86"/>
  <c r="W86" s="1"/>
  <c r="G86"/>
  <c r="H86" s="1"/>
  <c r="E86"/>
  <c r="Q86" s="1"/>
  <c r="X85"/>
  <c r="Y85" s="1"/>
  <c r="S85"/>
  <c r="T85" s="1"/>
  <c r="N85"/>
  <c r="J85"/>
  <c r="W85" s="1"/>
  <c r="G85"/>
  <c r="H85" s="1"/>
  <c r="E85"/>
  <c r="Q85" s="1"/>
  <c r="T84"/>
  <c r="N84"/>
  <c r="J84"/>
  <c r="K84" s="1"/>
  <c r="W84" s="1"/>
  <c r="G84"/>
  <c r="H84" s="1"/>
  <c r="E84"/>
  <c r="Q84" s="1"/>
  <c r="O84" s="1"/>
  <c r="X83"/>
  <c r="Y83" s="1"/>
  <c r="S83"/>
  <c r="T83" s="1"/>
  <c r="N83"/>
  <c r="J83"/>
  <c r="W83" s="1"/>
  <c r="I83"/>
  <c r="G83"/>
  <c r="E83"/>
  <c r="Q83" s="1"/>
  <c r="X82"/>
  <c r="Y82" s="1"/>
  <c r="V82"/>
  <c r="T82"/>
  <c r="N82"/>
  <c r="J82"/>
  <c r="K82" s="1"/>
  <c r="G82"/>
  <c r="H82" s="1"/>
  <c r="E82"/>
  <c r="Q82" s="1"/>
  <c r="X81"/>
  <c r="Y81" s="1"/>
  <c r="T81"/>
  <c r="N81"/>
  <c r="J81"/>
  <c r="W81" s="1"/>
  <c r="G81"/>
  <c r="H81" s="1"/>
  <c r="E81"/>
  <c r="Q81" s="1"/>
  <c r="X80"/>
  <c r="Y80" s="1"/>
  <c r="S80"/>
  <c r="T80" s="1"/>
  <c r="N80"/>
  <c r="J80"/>
  <c r="W80" s="1"/>
  <c r="G80"/>
  <c r="E80"/>
  <c r="Q80" s="1"/>
  <c r="X79"/>
  <c r="Y79" s="1"/>
  <c r="S79"/>
  <c r="T79" s="1"/>
  <c r="N79"/>
  <c r="J79"/>
  <c r="W79" s="1"/>
  <c r="G79"/>
  <c r="H79" s="1"/>
  <c r="E79"/>
  <c r="Q79" s="1"/>
  <c r="X78"/>
  <c r="Y78" s="1"/>
  <c r="T78"/>
  <c r="N78"/>
  <c r="J78"/>
  <c r="W78" s="1"/>
  <c r="G78"/>
  <c r="H78" s="1"/>
  <c r="E78"/>
  <c r="Q78" s="1"/>
  <c r="X77"/>
  <c r="Y77" s="1"/>
  <c r="S77"/>
  <c r="T77" s="1"/>
  <c r="N77"/>
  <c r="J77"/>
  <c r="K77" s="1"/>
  <c r="W77" s="1"/>
  <c r="G77"/>
  <c r="H77" s="1"/>
  <c r="E77"/>
  <c r="Q77" s="1"/>
  <c r="T76"/>
  <c r="N76"/>
  <c r="J76"/>
  <c r="W76" s="1"/>
  <c r="G76"/>
  <c r="H76" s="1"/>
  <c r="E76"/>
  <c r="Q76" s="1"/>
  <c r="T75"/>
  <c r="N75"/>
  <c r="J75"/>
  <c r="K75" s="1"/>
  <c r="W75" s="1"/>
  <c r="G75"/>
  <c r="H75" s="1"/>
  <c r="E75"/>
  <c r="Q75" s="1"/>
  <c r="X74"/>
  <c r="Y74" s="1"/>
  <c r="T74"/>
  <c r="N74"/>
  <c r="J74"/>
  <c r="K74" s="1"/>
  <c r="W74" s="1"/>
  <c r="G74"/>
  <c r="H74" s="1"/>
  <c r="E74"/>
  <c r="Q74" s="1"/>
  <c r="X73"/>
  <c r="Y73" s="1"/>
  <c r="T73"/>
  <c r="N73"/>
  <c r="J73"/>
  <c r="W73" s="1"/>
  <c r="G73"/>
  <c r="H73" s="1"/>
  <c r="E73"/>
  <c r="Q73" s="1"/>
  <c r="T72"/>
  <c r="N72"/>
  <c r="J72"/>
  <c r="K72" s="1"/>
  <c r="W72" s="1"/>
  <c r="G72"/>
  <c r="E72"/>
  <c r="Q72" s="1"/>
  <c r="X71"/>
  <c r="Y71" s="1"/>
  <c r="S71"/>
  <c r="T71" s="1"/>
  <c r="N71"/>
  <c r="J71"/>
  <c r="W71" s="1"/>
  <c r="G71"/>
  <c r="H71" s="1"/>
  <c r="E71"/>
  <c r="Q71" s="1"/>
  <c r="T70"/>
  <c r="N70"/>
  <c r="J70"/>
  <c r="W70" s="1"/>
  <c r="G70"/>
  <c r="H70" s="1"/>
  <c r="E70"/>
  <c r="Q70" s="1"/>
  <c r="X69"/>
  <c r="Y69" s="1"/>
  <c r="S69"/>
  <c r="T69" s="1"/>
  <c r="N69"/>
  <c r="J69"/>
  <c r="W69" s="1"/>
  <c r="G69"/>
  <c r="H69" s="1"/>
  <c r="E69"/>
  <c r="Q69" s="1"/>
  <c r="S68"/>
  <c r="T68" s="1"/>
  <c r="N68"/>
  <c r="J68"/>
  <c r="K68" s="1"/>
  <c r="W68" s="1"/>
  <c r="G68"/>
  <c r="H68" s="1"/>
  <c r="E68"/>
  <c r="Q68" s="1"/>
  <c r="X67"/>
  <c r="Y67" s="1"/>
  <c r="T67"/>
  <c r="N67"/>
  <c r="J67"/>
  <c r="K67" s="1"/>
  <c r="W67" s="1"/>
  <c r="G67"/>
  <c r="H67" s="1"/>
  <c r="E67"/>
  <c r="Q67" s="1"/>
  <c r="X66"/>
  <c r="Y66" s="1"/>
  <c r="T66"/>
  <c r="N66"/>
  <c r="J66"/>
  <c r="W66" s="1"/>
  <c r="G66"/>
  <c r="H66" s="1"/>
  <c r="E66"/>
  <c r="Q66" s="1"/>
  <c r="X65"/>
  <c r="Y65" s="1"/>
  <c r="S65"/>
  <c r="T65" s="1"/>
  <c r="N65"/>
  <c r="J65"/>
  <c r="W65" s="1"/>
  <c r="G65"/>
  <c r="H65" s="1"/>
  <c r="E65"/>
  <c r="Q65" s="1"/>
  <c r="X64"/>
  <c r="Y64" s="1"/>
  <c r="S64"/>
  <c r="T64" s="1"/>
  <c r="N64"/>
  <c r="J64"/>
  <c r="W64" s="1"/>
  <c r="I64"/>
  <c r="G64"/>
  <c r="E64"/>
  <c r="Q64" s="1"/>
  <c r="T63"/>
  <c r="N63"/>
  <c r="J63"/>
  <c r="K63" s="1"/>
  <c r="W63" s="1"/>
  <c r="G63"/>
  <c r="E63"/>
  <c r="Q63" s="1"/>
  <c r="O63" s="1"/>
  <c r="X62"/>
  <c r="Y62" s="1"/>
  <c r="T62"/>
  <c r="N62"/>
  <c r="J62"/>
  <c r="W62" s="1"/>
  <c r="G62"/>
  <c r="H62" s="1"/>
  <c r="E62"/>
  <c r="Q62" s="1"/>
  <c r="X61"/>
  <c r="Y61" s="1"/>
  <c r="S61"/>
  <c r="T61" s="1"/>
  <c r="N61"/>
  <c r="J61"/>
  <c r="W61" s="1"/>
  <c r="G61"/>
  <c r="H61" s="1"/>
  <c r="E61"/>
  <c r="Q61" s="1"/>
  <c r="X60"/>
  <c r="Y60" s="1"/>
  <c r="T60"/>
  <c r="N60"/>
  <c r="J60"/>
  <c r="K60" s="1"/>
  <c r="W60" s="1"/>
  <c r="G60"/>
  <c r="E60"/>
  <c r="Q60" s="1"/>
  <c r="T59"/>
  <c r="N59"/>
  <c r="J59"/>
  <c r="W59" s="1"/>
  <c r="G59"/>
  <c r="E59"/>
  <c r="Q59" s="1"/>
  <c r="O59" s="1"/>
  <c r="X58"/>
  <c r="Y58" s="1"/>
  <c r="T58"/>
  <c r="N58"/>
  <c r="J58"/>
  <c r="W58" s="1"/>
  <c r="G58"/>
  <c r="H58" s="1"/>
  <c r="E58"/>
  <c r="Q58" s="1"/>
  <c r="Y57"/>
  <c r="T57"/>
  <c r="N57"/>
  <c r="J57"/>
  <c r="W57" s="1"/>
  <c r="G57"/>
  <c r="H57" s="1"/>
  <c r="E57"/>
  <c r="Q57" s="1"/>
  <c r="X56"/>
  <c r="Y56" s="1"/>
  <c r="V56"/>
  <c r="S56"/>
  <c r="T56" s="1"/>
  <c r="N56"/>
  <c r="J56"/>
  <c r="K56" s="1"/>
  <c r="G56"/>
  <c r="H56" s="1"/>
  <c r="E56"/>
  <c r="Q56" s="1"/>
  <c r="T55"/>
  <c r="N55"/>
  <c r="J55"/>
  <c r="K55" s="1"/>
  <c r="W55" s="1"/>
  <c r="G55"/>
  <c r="E55"/>
  <c r="Q55" s="1"/>
  <c r="X54"/>
  <c r="Y54" s="1"/>
  <c r="T54"/>
  <c r="N54"/>
  <c r="J54"/>
  <c r="W54" s="1"/>
  <c r="G54"/>
  <c r="H54" s="1"/>
  <c r="E54"/>
  <c r="Q54" s="1"/>
  <c r="X53"/>
  <c r="Y53" s="1"/>
  <c r="T53"/>
  <c r="N53"/>
  <c r="J53"/>
  <c r="W53" s="1"/>
  <c r="G53"/>
  <c r="E53"/>
  <c r="Q53" s="1"/>
  <c r="X52"/>
  <c r="Y52" s="1"/>
  <c r="T52"/>
  <c r="N52"/>
  <c r="J52"/>
  <c r="K52" s="1"/>
  <c r="W52" s="1"/>
  <c r="G52"/>
  <c r="H52" s="1"/>
  <c r="E52"/>
  <c r="Q52" s="1"/>
  <c r="X51"/>
  <c r="Y51" s="1"/>
  <c r="S51"/>
  <c r="T51" s="1"/>
  <c r="N51"/>
  <c r="J51"/>
  <c r="W51" s="1"/>
  <c r="G51"/>
  <c r="H51" s="1"/>
  <c r="E51"/>
  <c r="Q51" s="1"/>
  <c r="X50"/>
  <c r="Y50" s="1"/>
  <c r="S50"/>
  <c r="T50" s="1"/>
  <c r="N50"/>
  <c r="J50"/>
  <c r="W50" s="1"/>
  <c r="G50"/>
  <c r="E50"/>
  <c r="Q50" s="1"/>
  <c r="X49"/>
  <c r="Y49" s="1"/>
  <c r="S49"/>
  <c r="T49" s="1"/>
  <c r="N49"/>
  <c r="J49"/>
  <c r="W49" s="1"/>
  <c r="G49"/>
  <c r="E49"/>
  <c r="Q49" s="1"/>
  <c r="X48"/>
  <c r="Y48" s="1"/>
  <c r="T48"/>
  <c r="N48"/>
  <c r="J48"/>
  <c r="W48" s="1"/>
  <c r="G48"/>
  <c r="E48"/>
  <c r="Q48" s="1"/>
  <c r="X47"/>
  <c r="Y47" s="1"/>
  <c r="S47"/>
  <c r="T47" s="1"/>
  <c r="N47"/>
  <c r="J47"/>
  <c r="W47" s="1"/>
  <c r="G47"/>
  <c r="E47"/>
  <c r="Q47" s="1"/>
  <c r="X46"/>
  <c r="Y46" s="1"/>
  <c r="T46"/>
  <c r="N46"/>
  <c r="J46"/>
  <c r="W46" s="1"/>
  <c r="G46"/>
  <c r="H46" s="1"/>
  <c r="E46"/>
  <c r="Q46" s="1"/>
  <c r="X45"/>
  <c r="Y45" s="1"/>
  <c r="S45"/>
  <c r="T45" s="1"/>
  <c r="N45"/>
  <c r="J45"/>
  <c r="W45" s="1"/>
  <c r="G45"/>
  <c r="H45" s="1"/>
  <c r="E45"/>
  <c r="Q45" s="1"/>
  <c r="X44"/>
  <c r="Y44" s="1"/>
  <c r="T44"/>
  <c r="N44"/>
  <c r="J44"/>
  <c r="K44" s="1"/>
  <c r="W44" s="1"/>
  <c r="G44"/>
  <c r="H44" s="1"/>
  <c r="E44"/>
  <c r="Q44" s="1"/>
  <c r="T43"/>
  <c r="N43"/>
  <c r="J43"/>
  <c r="K43" s="1"/>
  <c r="W43" s="1"/>
  <c r="G43"/>
  <c r="H43" s="1"/>
  <c r="E43"/>
  <c r="Q43" s="1"/>
  <c r="O43" s="1"/>
  <c r="T42"/>
  <c r="N42"/>
  <c r="J42"/>
  <c r="K42" s="1"/>
  <c r="W42" s="1"/>
  <c r="G42"/>
  <c r="H42" s="1"/>
  <c r="E42"/>
  <c r="Q42" s="1"/>
  <c r="O42" s="1"/>
  <c r="X41"/>
  <c r="Y41" s="1"/>
  <c r="T41"/>
  <c r="N41"/>
  <c r="J41"/>
  <c r="W41" s="1"/>
  <c r="G41"/>
  <c r="H41" s="1"/>
  <c r="E41"/>
  <c r="Q41" s="1"/>
  <c r="X40"/>
  <c r="Y40" s="1"/>
  <c r="T40"/>
  <c r="N40"/>
  <c r="J40"/>
  <c r="W40" s="1"/>
  <c r="G40"/>
  <c r="H40" s="1"/>
  <c r="E40"/>
  <c r="Q40" s="1"/>
  <c r="X39"/>
  <c r="Y39" s="1"/>
  <c r="S39"/>
  <c r="T39" s="1"/>
  <c r="N39"/>
  <c r="J39"/>
  <c r="W39" s="1"/>
  <c r="G39"/>
  <c r="H39" s="1"/>
  <c r="E39"/>
  <c r="Q39" s="1"/>
  <c r="X38"/>
  <c r="Y38" s="1"/>
  <c r="T38"/>
  <c r="N38"/>
  <c r="J38"/>
  <c r="K38" s="1"/>
  <c r="W38" s="1"/>
  <c r="G38"/>
  <c r="H38" s="1"/>
  <c r="E38"/>
  <c r="Q38" s="1"/>
  <c r="X37"/>
  <c r="Y37" s="1"/>
  <c r="T37"/>
  <c r="N37"/>
  <c r="J37"/>
  <c r="K37" s="1"/>
  <c r="W37" s="1"/>
  <c r="G37"/>
  <c r="H37" s="1"/>
  <c r="E37"/>
  <c r="Q37" s="1"/>
  <c r="X36"/>
  <c r="Y36" s="1"/>
  <c r="T36"/>
  <c r="N36"/>
  <c r="J36"/>
  <c r="K36" s="1"/>
  <c r="W36" s="1"/>
  <c r="G36"/>
  <c r="H36" s="1"/>
  <c r="E36"/>
  <c r="Q36" s="1"/>
  <c r="X35"/>
  <c r="Y35" s="1"/>
  <c r="S35"/>
  <c r="T35" s="1"/>
  <c r="N35"/>
  <c r="J35"/>
  <c r="W35" s="1"/>
  <c r="I35"/>
  <c r="G35"/>
  <c r="E35"/>
  <c r="Q35" s="1"/>
  <c r="X34"/>
  <c r="Y34" s="1"/>
  <c r="T34"/>
  <c r="N34"/>
  <c r="J34"/>
  <c r="W34" s="1"/>
  <c r="G34"/>
  <c r="H34" s="1"/>
  <c r="E34"/>
  <c r="Q34" s="1"/>
  <c r="X33"/>
  <c r="Y33" s="1"/>
  <c r="T33"/>
  <c r="N33"/>
  <c r="J33"/>
  <c r="K33" s="1"/>
  <c r="W33" s="1"/>
  <c r="G33"/>
  <c r="H33" s="1"/>
  <c r="E33"/>
  <c r="Q33" s="1"/>
  <c r="T32"/>
  <c r="N32"/>
  <c r="J32"/>
  <c r="K32" s="1"/>
  <c r="W32" s="1"/>
  <c r="G32"/>
  <c r="H32" s="1"/>
  <c r="E32"/>
  <c r="T31"/>
  <c r="N31"/>
  <c r="J31"/>
  <c r="K31" s="1"/>
  <c r="W31" s="1"/>
  <c r="G31"/>
  <c r="H31" s="1"/>
  <c r="E31"/>
  <c r="X30"/>
  <c r="Y30" s="1"/>
  <c r="T30"/>
  <c r="N30"/>
  <c r="J30"/>
  <c r="K30" s="1"/>
  <c r="W30" s="1"/>
  <c r="G30"/>
  <c r="H30" s="1"/>
  <c r="E30"/>
  <c r="X29"/>
  <c r="Y29" s="1"/>
  <c r="S29"/>
  <c r="T29" s="1"/>
  <c r="N29"/>
  <c r="J29"/>
  <c r="W29" s="1"/>
  <c r="G29"/>
  <c r="H29" s="1"/>
  <c r="E29"/>
  <c r="Q29" s="1"/>
  <c r="X28"/>
  <c r="Y28" s="1"/>
  <c r="S28"/>
  <c r="T28" s="1"/>
  <c r="N28"/>
  <c r="J28"/>
  <c r="K28" s="1"/>
  <c r="G28"/>
  <c r="E28"/>
  <c r="Q28" s="1"/>
  <c r="X27"/>
  <c r="Y27" s="1"/>
  <c r="T27"/>
  <c r="N27"/>
  <c r="J27"/>
  <c r="W27" s="1"/>
  <c r="G27"/>
  <c r="H27" s="1"/>
  <c r="E27"/>
  <c r="Q27" s="1"/>
  <c r="X26"/>
  <c r="Y26" s="1"/>
  <c r="T26"/>
  <c r="N26"/>
  <c r="J26"/>
  <c r="W26" s="1"/>
  <c r="G26"/>
  <c r="E26"/>
  <c r="Q26" s="1"/>
  <c r="X25"/>
  <c r="Y25" s="1"/>
  <c r="S25"/>
  <c r="T25" s="1"/>
  <c r="N25"/>
  <c r="J25"/>
  <c r="W25" s="1"/>
  <c r="G25"/>
  <c r="H25" s="1"/>
  <c r="E25"/>
  <c r="Q25" s="1"/>
  <c r="X24"/>
  <c r="Y24" s="1"/>
  <c r="T24"/>
  <c r="N24"/>
  <c r="J24"/>
  <c r="W24" s="1"/>
  <c r="G24"/>
  <c r="H24" s="1"/>
  <c r="E24"/>
  <c r="Q24" s="1"/>
  <c r="T23"/>
  <c r="N23"/>
  <c r="J23"/>
  <c r="W23" s="1"/>
  <c r="G23"/>
  <c r="H23" s="1"/>
  <c r="E23"/>
  <c r="Q23" s="1"/>
  <c r="O23" s="1"/>
  <c r="T22"/>
  <c r="N22"/>
  <c r="J22"/>
  <c r="K22" s="1"/>
  <c r="W22" s="1"/>
  <c r="G22"/>
  <c r="H22" s="1"/>
  <c r="E22"/>
  <c r="Q22" s="1"/>
  <c r="O22" s="1"/>
  <c r="X21"/>
  <c r="Y21" s="1"/>
  <c r="T21"/>
  <c r="N21"/>
  <c r="J21"/>
  <c r="W21" s="1"/>
  <c r="G21"/>
  <c r="E21"/>
  <c r="Q21" s="1"/>
  <c r="X20"/>
  <c r="Y20" s="1"/>
  <c r="S20"/>
  <c r="T20" s="1"/>
  <c r="N20"/>
  <c r="J20"/>
  <c r="W20" s="1"/>
  <c r="G20"/>
  <c r="H20" s="1"/>
  <c r="E20"/>
  <c r="Q20" s="1"/>
  <c r="X19"/>
  <c r="Y19" s="1"/>
  <c r="S19"/>
  <c r="T19" s="1"/>
  <c r="N19"/>
  <c r="J19"/>
  <c r="K19" s="1"/>
  <c r="W19" s="1"/>
  <c r="G19"/>
  <c r="H19" s="1"/>
  <c r="E19"/>
  <c r="Q19" s="1"/>
  <c r="S18"/>
  <c r="T18" s="1"/>
  <c r="N18"/>
  <c r="J18"/>
  <c r="W18" s="1"/>
  <c r="G18"/>
  <c r="E18"/>
  <c r="Q18" s="1"/>
  <c r="O18" s="1"/>
  <c r="X17"/>
  <c r="Y17" s="1"/>
  <c r="V17"/>
  <c r="S17"/>
  <c r="T17" s="1"/>
  <c r="N17"/>
  <c r="J17"/>
  <c r="K17" s="1"/>
  <c r="I17"/>
  <c r="G17"/>
  <c r="E17"/>
  <c r="Q17" s="1"/>
  <c r="S16"/>
  <c r="T16" s="1"/>
  <c r="N16"/>
  <c r="J16"/>
  <c r="W16" s="1"/>
  <c r="G16"/>
  <c r="E16"/>
  <c r="Q16" s="1"/>
  <c r="X15"/>
  <c r="Y15" s="1"/>
  <c r="S15"/>
  <c r="T15" s="1"/>
  <c r="N15"/>
  <c r="J15"/>
  <c r="K15" s="1"/>
  <c r="W15" s="1"/>
  <c r="G15"/>
  <c r="H15" s="1"/>
  <c r="E15"/>
  <c r="Q15" s="1"/>
  <c r="X14"/>
  <c r="Y14" s="1"/>
  <c r="S14"/>
  <c r="T14" s="1"/>
  <c r="N14"/>
  <c r="J14"/>
  <c r="W14" s="1"/>
  <c r="G14"/>
  <c r="H14" s="1"/>
  <c r="E14"/>
  <c r="Q14" s="1"/>
  <c r="X13"/>
  <c r="Y13" s="1"/>
  <c r="S13"/>
  <c r="T13" s="1"/>
  <c r="N13"/>
  <c r="J13"/>
  <c r="W13" s="1"/>
  <c r="G13"/>
  <c r="H13" s="1"/>
  <c r="E13"/>
  <c r="Q13" s="1"/>
  <c r="X12"/>
  <c r="Y12" s="1"/>
  <c r="S12"/>
  <c r="T12" s="1"/>
  <c r="N12"/>
  <c r="J12"/>
  <c r="W12" s="1"/>
  <c r="G12"/>
  <c r="H12" s="1"/>
  <c r="E12"/>
  <c r="Q12" s="1"/>
  <c r="X11"/>
  <c r="Y11" s="1"/>
  <c r="T11"/>
  <c r="N11"/>
  <c r="J11"/>
  <c r="K11" s="1"/>
  <c r="W11" s="1"/>
  <c r="G11"/>
  <c r="H11" s="1"/>
  <c r="E11"/>
  <c r="Q11" s="1"/>
  <c r="X10"/>
  <c r="T10"/>
  <c r="N10"/>
  <c r="J10"/>
  <c r="K10" s="1"/>
  <c r="G10"/>
  <c r="H10" s="1"/>
  <c r="E10"/>
  <c r="Q10" s="1"/>
  <c r="T9"/>
  <c r="N9"/>
  <c r="J9"/>
  <c r="W9" s="1"/>
  <c r="G9"/>
  <c r="E9"/>
  <c r="Q9" s="1"/>
  <c r="O9" s="1"/>
  <c r="T8"/>
  <c r="N8"/>
  <c r="J8"/>
  <c r="W8" s="1"/>
  <c r="G8"/>
  <c r="H8" s="1"/>
  <c r="E8"/>
  <c r="Q8" s="1"/>
  <c r="O8" s="1"/>
  <c r="S7"/>
  <c r="T7" s="1"/>
  <c r="N7"/>
  <c r="J7"/>
  <c r="K7" s="1"/>
  <c r="G7"/>
  <c r="E7"/>
  <c r="Q7" s="1"/>
  <c r="X6"/>
  <c r="Y6" s="1"/>
  <c r="V6"/>
  <c r="S6"/>
  <c r="T6" s="1"/>
  <c r="N6"/>
  <c r="J6"/>
  <c r="K6" s="1"/>
  <c r="G6"/>
  <c r="H6" s="1"/>
  <c r="E6"/>
  <c r="Q6" s="1"/>
  <c r="Y5"/>
  <c r="S5"/>
  <c r="T5" s="1"/>
  <c r="N5"/>
  <c r="J5"/>
  <c r="W5" s="1"/>
  <c r="G5"/>
  <c r="H5" s="1"/>
  <c r="E5"/>
  <c r="Q5" s="1"/>
  <c r="T4"/>
  <c r="P4"/>
  <c r="N4"/>
  <c r="J4"/>
  <c r="K4" s="1"/>
  <c r="W4" s="1"/>
  <c r="G4"/>
  <c r="H4" s="1"/>
  <c r="E4"/>
  <c r="Q4" s="1"/>
  <c r="AY154" i="1"/>
  <c r="AY161"/>
  <c r="AY100"/>
  <c r="AY26"/>
  <c r="AY155"/>
  <c r="AY37"/>
  <c r="AY77"/>
  <c r="AY24"/>
  <c r="AY78"/>
  <c r="AY41"/>
  <c r="AY73"/>
  <c r="AY177"/>
  <c r="AY139"/>
  <c r="AY39"/>
  <c r="AY27"/>
  <c r="AY116"/>
  <c r="AY138"/>
  <c r="AY196"/>
  <c r="AY45"/>
  <c r="AY67"/>
  <c r="AY197"/>
  <c r="AY170"/>
  <c r="AY164"/>
  <c r="AY10"/>
  <c r="AY54"/>
  <c r="AY140"/>
  <c r="AY40"/>
  <c r="AY107"/>
  <c r="AY156"/>
  <c r="AY126"/>
  <c r="AY58"/>
  <c r="AY56"/>
  <c r="AY147"/>
  <c r="AY109"/>
  <c r="AY141"/>
  <c r="AY123"/>
  <c r="AY88"/>
  <c r="AY29"/>
  <c r="AY189"/>
  <c r="AY34"/>
  <c r="AY83"/>
  <c r="AY33"/>
  <c r="AY185"/>
  <c r="AY106"/>
  <c r="AY131"/>
  <c r="AY76"/>
  <c r="AY92"/>
  <c r="AY32"/>
  <c r="AY190"/>
  <c r="AY146"/>
  <c r="AY46"/>
  <c r="AY152"/>
  <c r="AY144"/>
  <c r="AY122"/>
  <c r="AY183"/>
  <c r="AY68"/>
  <c r="AY129"/>
  <c r="AY182"/>
  <c r="AY111"/>
  <c r="AY181"/>
  <c r="AY90"/>
  <c r="AY30"/>
  <c r="AY74"/>
  <c r="AY70"/>
  <c r="AY86"/>
  <c r="AY108"/>
  <c r="AY114"/>
  <c r="AY193"/>
  <c r="AY115"/>
  <c r="AY143"/>
  <c r="AY101"/>
  <c r="AY118"/>
  <c r="AY195"/>
  <c r="AY176"/>
  <c r="AY89"/>
  <c r="AY194"/>
  <c r="AY55"/>
  <c r="AY191"/>
  <c r="AY81"/>
  <c r="AY82"/>
  <c r="AY97"/>
  <c r="AY120"/>
  <c r="AY22"/>
  <c r="AY128"/>
  <c r="AY25"/>
  <c r="AY187"/>
  <c r="AY104"/>
  <c r="AY6"/>
  <c r="AY98"/>
  <c r="AY5"/>
  <c r="AY57"/>
  <c r="AY142"/>
  <c r="AY130"/>
  <c r="AY188"/>
  <c r="AY85"/>
  <c r="AY172"/>
  <c r="AY17"/>
  <c r="AY14"/>
  <c r="AY96"/>
  <c r="AY145"/>
  <c r="AY71"/>
  <c r="AY65"/>
  <c r="AY175"/>
  <c r="AY174"/>
  <c r="AY35"/>
  <c r="AY87"/>
  <c r="AY163"/>
  <c r="AY61"/>
  <c r="AY162"/>
  <c r="AY50"/>
  <c r="AY11"/>
  <c r="AY127"/>
  <c r="AY137"/>
  <c r="AY135"/>
  <c r="AY12"/>
  <c r="AY13"/>
  <c r="AY62"/>
  <c r="AY94"/>
  <c r="AY4"/>
  <c r="AY49"/>
  <c r="AY158"/>
  <c r="AY153"/>
  <c r="AY80"/>
  <c r="AY20"/>
  <c r="AY186"/>
  <c r="AY19"/>
  <c r="AY47"/>
  <c r="AY69"/>
  <c r="AY64"/>
  <c r="AY91"/>
  <c r="AY112"/>
  <c r="AY105"/>
  <c r="AY157"/>
  <c r="AY133"/>
  <c r="AY51"/>
  <c r="AY79"/>
  <c r="AY121"/>
  <c r="AY171"/>
  <c r="AY124"/>
  <c r="R198"/>
  <c r="AW77"/>
  <c r="AW38"/>
  <c r="AW44"/>
  <c r="AW155"/>
  <c r="AW169"/>
  <c r="AW131"/>
  <c r="AW197"/>
  <c r="AW170"/>
  <c r="AW32"/>
  <c r="AW78"/>
  <c r="AW196"/>
  <c r="AW130"/>
  <c r="AW42"/>
  <c r="AW147"/>
  <c r="AW124"/>
  <c r="AW150"/>
  <c r="AW152"/>
  <c r="AW123"/>
  <c r="AW73"/>
  <c r="AW108"/>
  <c r="AW175"/>
  <c r="AW161"/>
  <c r="AW92"/>
  <c r="AW107"/>
  <c r="AW60"/>
  <c r="AW100"/>
  <c r="AW34"/>
  <c r="AW74"/>
  <c r="AW30"/>
  <c r="AW129"/>
  <c r="AW195"/>
  <c r="AW21"/>
  <c r="AW54"/>
  <c r="AW52"/>
  <c r="AW46"/>
  <c r="AW55"/>
  <c r="AW8"/>
  <c r="AW114"/>
  <c r="AW168"/>
  <c r="AW120"/>
  <c r="AW72"/>
  <c r="AW22"/>
  <c r="AW41"/>
  <c r="AW138"/>
  <c r="AW58"/>
  <c r="AW111"/>
  <c r="AW176"/>
  <c r="AW4"/>
  <c r="AW186"/>
  <c r="AW185"/>
  <c r="AW140"/>
  <c r="AW11"/>
  <c r="AW96"/>
  <c r="AW102"/>
  <c r="AW56"/>
  <c r="AW141"/>
  <c r="AW31"/>
  <c r="AW178"/>
  <c r="AW17"/>
  <c r="AW33"/>
  <c r="AW106"/>
  <c r="AW126"/>
  <c r="AW26"/>
  <c r="AW24"/>
  <c r="AW36"/>
  <c r="AW10"/>
  <c r="AW183"/>
  <c r="AW62"/>
  <c r="AW53"/>
  <c r="AW137"/>
  <c r="AW70"/>
  <c r="AW99"/>
  <c r="AW19"/>
  <c r="AW193"/>
  <c r="AW117"/>
  <c r="AW118"/>
  <c r="AW27"/>
  <c r="AW97"/>
  <c r="AW191"/>
  <c r="AW63"/>
  <c r="AW81"/>
  <c r="AW84"/>
  <c r="AW45"/>
  <c r="AW179"/>
  <c r="AW86"/>
  <c r="AW23"/>
  <c r="AW9"/>
  <c r="AW6"/>
  <c r="AW135"/>
  <c r="AW29"/>
  <c r="AW145"/>
  <c r="AW157"/>
  <c r="AW190"/>
  <c r="AW71"/>
  <c r="AW57"/>
  <c r="AW163"/>
  <c r="AW187"/>
  <c r="AW139"/>
  <c r="AW83"/>
  <c r="AW25"/>
  <c r="AW116"/>
  <c r="AW143"/>
  <c r="AW47"/>
  <c r="AW61"/>
  <c r="AW142"/>
  <c r="AW180"/>
  <c r="AW182"/>
  <c r="AW88"/>
  <c r="AW89"/>
  <c r="AW110"/>
  <c r="AW69"/>
  <c r="AW20"/>
  <c r="AW189"/>
  <c r="AW162"/>
  <c r="AW122"/>
  <c r="AW194"/>
  <c r="AW90"/>
  <c r="AW188"/>
  <c r="AW79"/>
  <c r="AW51"/>
  <c r="AW40"/>
  <c r="AW82"/>
  <c r="AW146"/>
  <c r="AW5"/>
  <c r="AW158"/>
  <c r="AW173"/>
  <c r="AW39"/>
  <c r="AW14"/>
  <c r="AW127"/>
  <c r="AW68"/>
  <c r="AW35"/>
  <c r="AW15"/>
  <c r="AW50"/>
  <c r="AW164"/>
  <c r="AW153"/>
  <c r="AW91"/>
  <c r="AW177"/>
  <c r="AW115"/>
  <c r="AW172"/>
  <c r="AW121"/>
  <c r="AW65"/>
  <c r="AW13"/>
  <c r="AW85"/>
  <c r="AW104"/>
  <c r="AW109"/>
  <c r="AW181"/>
  <c r="AW174"/>
  <c r="AW101"/>
  <c r="AA198"/>
  <c r="AU59"/>
  <c r="AU173"/>
  <c r="AU132"/>
  <c r="AU151"/>
  <c r="AU117"/>
  <c r="AU7"/>
  <c r="AU165"/>
  <c r="AU49"/>
  <c r="AU18"/>
  <c r="AU103"/>
  <c r="AU149"/>
  <c r="AU184"/>
  <c r="AU113"/>
  <c r="AU112"/>
  <c r="AU128"/>
  <c r="AU93"/>
  <c r="AU53"/>
  <c r="AU167"/>
  <c r="AU166"/>
  <c r="AU80"/>
  <c r="AU136"/>
  <c r="AU115"/>
  <c r="AU50"/>
  <c r="AU125"/>
  <c r="AU72"/>
  <c r="AU21"/>
  <c r="AU26"/>
  <c r="AU150"/>
  <c r="AU119"/>
  <c r="AU47"/>
  <c r="AU180"/>
  <c r="AU169"/>
  <c r="AU192"/>
  <c r="AU148"/>
  <c r="AU153"/>
  <c r="AU9"/>
  <c r="AU179"/>
  <c r="AU55"/>
  <c r="AU99"/>
  <c r="AU159"/>
  <c r="AU110"/>
  <c r="AU102"/>
  <c r="AU94"/>
  <c r="AU95"/>
  <c r="AU63"/>
  <c r="AU28"/>
  <c r="AU16"/>
  <c r="AU134"/>
  <c r="AU168"/>
  <c r="AU48"/>
  <c r="AU160"/>
  <c r="AU60"/>
  <c r="AC198"/>
  <c r="AS7"/>
  <c r="AS165"/>
  <c r="AS49"/>
  <c r="AS18"/>
  <c r="AS103"/>
  <c r="AS149"/>
  <c r="AS184"/>
  <c r="AS113"/>
  <c r="AS133"/>
  <c r="AS71"/>
  <c r="AS15"/>
  <c r="AS35"/>
  <c r="AS112"/>
  <c r="AS172"/>
  <c r="AS85"/>
  <c r="AS128"/>
  <c r="AS93"/>
  <c r="AS53"/>
  <c r="AS167"/>
  <c r="AS13"/>
  <c r="AS166"/>
  <c r="AS158"/>
  <c r="AS127"/>
  <c r="AS143"/>
  <c r="AS105"/>
  <c r="AS64"/>
  <c r="AS80"/>
  <c r="AS136"/>
  <c r="AS115"/>
  <c r="AS12"/>
  <c r="AS50"/>
  <c r="AS157"/>
  <c r="AS51"/>
  <c r="AS125"/>
  <c r="AS20"/>
  <c r="AS171"/>
  <c r="AS72"/>
  <c r="AS21"/>
  <c r="AS79"/>
  <c r="AS26"/>
  <c r="AS190"/>
  <c r="AS150"/>
  <c r="AS119"/>
  <c r="AS142"/>
  <c r="AS69"/>
  <c r="AS163"/>
  <c r="AS47"/>
  <c r="AS180"/>
  <c r="AS65"/>
  <c r="AS87"/>
  <c r="AS169"/>
  <c r="AS45"/>
  <c r="AS192"/>
  <c r="AS148"/>
  <c r="AS104"/>
  <c r="AS188"/>
  <c r="AS39"/>
  <c r="AS89"/>
  <c r="AS36"/>
  <c r="AS153"/>
  <c r="AS61"/>
  <c r="AS81"/>
  <c r="AS22"/>
  <c r="AS145"/>
  <c r="AS162"/>
  <c r="AS86"/>
  <c r="AS137"/>
  <c r="AS121"/>
  <c r="AS70"/>
  <c r="AS9"/>
  <c r="AS154"/>
  <c r="AS98"/>
  <c r="AS88"/>
  <c r="AS179"/>
  <c r="AS10"/>
  <c r="AS55"/>
  <c r="AS99"/>
  <c r="AS174"/>
  <c r="AS186"/>
  <c r="AS120"/>
  <c r="AS54"/>
  <c r="AS111"/>
  <c r="AS27"/>
  <c r="AS140"/>
  <c r="AS159"/>
  <c r="AS58"/>
  <c r="AS29"/>
  <c r="AS76"/>
  <c r="AS110"/>
  <c r="AS189"/>
  <c r="AS5"/>
  <c r="AS176"/>
  <c r="AS152"/>
  <c r="AS100"/>
  <c r="AS118"/>
  <c r="AS155"/>
  <c r="AS106"/>
  <c r="AS161"/>
  <c r="AS141"/>
  <c r="AS82"/>
  <c r="AS17"/>
  <c r="AS124"/>
  <c r="AS57"/>
  <c r="AS102"/>
  <c r="AS101"/>
  <c r="AS108"/>
  <c r="AS56"/>
  <c r="AS25"/>
  <c r="AS156"/>
  <c r="AS139"/>
  <c r="AS68"/>
  <c r="AS182"/>
  <c r="AS126"/>
  <c r="AS94"/>
  <c r="AS92"/>
  <c r="AS138"/>
  <c r="AS75"/>
  <c r="AS24"/>
  <c r="AS123"/>
  <c r="AS196"/>
  <c r="AS95"/>
  <c r="AS63"/>
  <c r="AS11"/>
  <c r="AS116"/>
  <c r="AS109"/>
  <c r="AS178"/>
  <c r="AS96"/>
  <c r="AS30"/>
  <c r="AS164"/>
  <c r="AS130"/>
  <c r="AS41"/>
  <c r="AS28"/>
  <c r="AS177"/>
  <c r="AS32"/>
  <c r="AS73"/>
  <c r="AS16"/>
  <c r="AS23"/>
  <c r="AS78"/>
  <c r="AS134"/>
  <c r="AS84"/>
  <c r="AS131"/>
  <c r="AS122"/>
  <c r="AS185"/>
  <c r="AS74"/>
  <c r="AS62"/>
  <c r="AS129"/>
  <c r="AS193"/>
  <c r="AS114"/>
  <c r="AS181"/>
  <c r="AS42"/>
  <c r="AS91"/>
  <c r="AS175"/>
  <c r="AS19"/>
  <c r="AS6"/>
  <c r="AS90"/>
  <c r="AS195"/>
  <c r="AS14"/>
  <c r="AS135"/>
  <c r="AS37"/>
  <c r="AS67"/>
  <c r="AS33"/>
  <c r="AS66"/>
  <c r="AS52"/>
  <c r="AS4"/>
  <c r="AS107"/>
  <c r="AS77"/>
  <c r="AS168"/>
  <c r="AS48"/>
  <c r="AS160"/>
  <c r="AS144"/>
  <c r="AS60"/>
  <c r="AS43"/>
  <c r="AS187"/>
  <c r="AS147"/>
  <c r="AS59"/>
  <c r="AS34"/>
  <c r="AS46"/>
  <c r="AS173"/>
  <c r="AS40"/>
  <c r="AS44"/>
  <c r="AS194"/>
  <c r="AS197"/>
  <c r="AS8"/>
  <c r="AS97"/>
  <c r="AS146"/>
  <c r="AS38"/>
  <c r="AS170"/>
  <c r="AS132"/>
  <c r="AS31"/>
  <c r="AS83"/>
  <c r="AS191"/>
  <c r="AS151"/>
  <c r="AS183"/>
  <c r="AS117"/>
  <c r="AQ4"/>
  <c r="AE198"/>
  <c r="AM117"/>
  <c r="AM7"/>
  <c r="AM165"/>
  <c r="AM49"/>
  <c r="AM18"/>
  <c r="AM103"/>
  <c r="AM149"/>
  <c r="AM184"/>
  <c r="AM113"/>
  <c r="AM133"/>
  <c r="AM71"/>
  <c r="AM15"/>
  <c r="AM35"/>
  <c r="AM112"/>
  <c r="AM172"/>
  <c r="AM85"/>
  <c r="AM128"/>
  <c r="AM93"/>
  <c r="AM53"/>
  <c r="AM167"/>
  <c r="AM13"/>
  <c r="AM166"/>
  <c r="AM158"/>
  <c r="AM127"/>
  <c r="AM143"/>
  <c r="AM105"/>
  <c r="AM64"/>
  <c r="AM80"/>
  <c r="AM136"/>
  <c r="AM115"/>
  <c r="AM12"/>
  <c r="AM50"/>
  <c r="AM157"/>
  <c r="AM51"/>
  <c r="AM125"/>
  <c r="AM20"/>
  <c r="AM171"/>
  <c r="AM72"/>
  <c r="AM21"/>
  <c r="AM79"/>
  <c r="AM26"/>
  <c r="AM190"/>
  <c r="AM150"/>
  <c r="AM119"/>
  <c r="AM142"/>
  <c r="AM69"/>
  <c r="AM163"/>
  <c r="AM47"/>
  <c r="AM180"/>
  <c r="AM65"/>
  <c r="AM87"/>
  <c r="AM169"/>
  <c r="AM45"/>
  <c r="AM192"/>
  <c r="AM148"/>
  <c r="AM104"/>
  <c r="AM188"/>
  <c r="AM39"/>
  <c r="AM89"/>
  <c r="AM36"/>
  <c r="AM153"/>
  <c r="AM61"/>
  <c r="AM81"/>
  <c r="AM22"/>
  <c r="AM145"/>
  <c r="AM162"/>
  <c r="AM86"/>
  <c r="AM137"/>
  <c r="AM121"/>
  <c r="AM70"/>
  <c r="AM9"/>
  <c r="AM154"/>
  <c r="AM98"/>
  <c r="AM88"/>
  <c r="AM179"/>
  <c r="AM10"/>
  <c r="AM55"/>
  <c r="AM99"/>
  <c r="AM174"/>
  <c r="AM186"/>
  <c r="AM120"/>
  <c r="AM54"/>
  <c r="AM111"/>
  <c r="AM27"/>
  <c r="AM140"/>
  <c r="AM159"/>
  <c r="AM58"/>
  <c r="AM29"/>
  <c r="AM76"/>
  <c r="AM110"/>
  <c r="AM189"/>
  <c r="AM5"/>
  <c r="AM176"/>
  <c r="AM152"/>
  <c r="AM100"/>
  <c r="AM118"/>
  <c r="AM155"/>
  <c r="AM106"/>
  <c r="AM161"/>
  <c r="AM141"/>
  <c r="AM82"/>
  <c r="AM17"/>
  <c r="AM124"/>
  <c r="AM57"/>
  <c r="AM102"/>
  <c r="AM101"/>
  <c r="AM108"/>
  <c r="AM56"/>
  <c r="AM25"/>
  <c r="AM156"/>
  <c r="AM139"/>
  <c r="AM68"/>
  <c r="AM182"/>
  <c r="AM126"/>
  <c r="AM94"/>
  <c r="AM92"/>
  <c r="AM138"/>
  <c r="AM75"/>
  <c r="AM24"/>
  <c r="AM123"/>
  <c r="AM196"/>
  <c r="AM95"/>
  <c r="AM63"/>
  <c r="AM11"/>
  <c r="AM116"/>
  <c r="AM109"/>
  <c r="AM178"/>
  <c r="AM96"/>
  <c r="AM30"/>
  <c r="AM164"/>
  <c r="AM130"/>
  <c r="AM41"/>
  <c r="AM28"/>
  <c r="AM177"/>
  <c r="AM32"/>
  <c r="AM73"/>
  <c r="AM16"/>
  <c r="AM23"/>
  <c r="AM78"/>
  <c r="AM134"/>
  <c r="AM84"/>
  <c r="AM131"/>
  <c r="AM122"/>
  <c r="AM185"/>
  <c r="AM74"/>
  <c r="AM62"/>
  <c r="AM129"/>
  <c r="AM193"/>
  <c r="AM114"/>
  <c r="AM181"/>
  <c r="AM42"/>
  <c r="AM91"/>
  <c r="AM175"/>
  <c r="AM19"/>
  <c r="AM6"/>
  <c r="AM90"/>
  <c r="AM195"/>
  <c r="AM14"/>
  <c r="AM135"/>
  <c r="AM37"/>
  <c r="AM67"/>
  <c r="AM33"/>
  <c r="AM66"/>
  <c r="AM52"/>
  <c r="AM4"/>
  <c r="AM107"/>
  <c r="AM77"/>
  <c r="AM168"/>
  <c r="AM48"/>
  <c r="AM160"/>
  <c r="AM144"/>
  <c r="AM60"/>
  <c r="AM43"/>
  <c r="AM187"/>
  <c r="AM59"/>
  <c r="AM34"/>
  <c r="AM46"/>
  <c r="AM173"/>
  <c r="AM40"/>
  <c r="AM44"/>
  <c r="AM194"/>
  <c r="AM197"/>
  <c r="AM8"/>
  <c r="AM97"/>
  <c r="AM146"/>
  <c r="AM38"/>
  <c r="AM170"/>
  <c r="AM132"/>
  <c r="AM31"/>
  <c r="AM83"/>
  <c r="AM191"/>
  <c r="AM151"/>
  <c r="AM183"/>
  <c r="AM147"/>
  <c r="S198"/>
  <c r="AK7"/>
  <c r="AK165"/>
  <c r="AK49"/>
  <c r="AK18"/>
  <c r="AK103"/>
  <c r="AK149"/>
  <c r="AK184"/>
  <c r="AK113"/>
  <c r="AK133"/>
  <c r="AK71"/>
  <c r="AK15"/>
  <c r="AK35"/>
  <c r="AK112"/>
  <c r="AK172"/>
  <c r="AK85"/>
  <c r="AK128"/>
  <c r="AK93"/>
  <c r="AK53"/>
  <c r="AK167"/>
  <c r="AK13"/>
  <c r="AK166"/>
  <c r="AK158"/>
  <c r="AK127"/>
  <c r="AK143"/>
  <c r="AK105"/>
  <c r="AK64"/>
  <c r="AK80"/>
  <c r="AK136"/>
  <c r="AK115"/>
  <c r="AK12"/>
  <c r="AK50"/>
  <c r="AK157"/>
  <c r="AK51"/>
  <c r="AK125"/>
  <c r="AK20"/>
  <c r="AK171"/>
  <c r="AK72"/>
  <c r="AK21"/>
  <c r="AK79"/>
  <c r="AK26"/>
  <c r="AK190"/>
  <c r="AK150"/>
  <c r="AK119"/>
  <c r="AK142"/>
  <c r="AK69"/>
  <c r="AK163"/>
  <c r="AK47"/>
  <c r="AK180"/>
  <c r="AK65"/>
  <c r="AK87"/>
  <c r="AK169"/>
  <c r="AK45"/>
  <c r="AK192"/>
  <c r="AK148"/>
  <c r="AK104"/>
  <c r="AK188"/>
  <c r="AK39"/>
  <c r="AK89"/>
  <c r="AK36"/>
  <c r="AK153"/>
  <c r="AK61"/>
  <c r="AK81"/>
  <c r="AK22"/>
  <c r="AK145"/>
  <c r="AK162"/>
  <c r="AK86"/>
  <c r="AK137"/>
  <c r="AK121"/>
  <c r="AK70"/>
  <c r="AK9"/>
  <c r="AK154"/>
  <c r="AK98"/>
  <c r="AK88"/>
  <c r="AK179"/>
  <c r="AK10"/>
  <c r="AK55"/>
  <c r="AK99"/>
  <c r="AK174"/>
  <c r="AK186"/>
  <c r="AK120"/>
  <c r="AK54"/>
  <c r="AK111"/>
  <c r="AK27"/>
  <c r="AK140"/>
  <c r="AK159"/>
  <c r="AK58"/>
  <c r="AK29"/>
  <c r="AK76"/>
  <c r="AK110"/>
  <c r="AK189"/>
  <c r="AK5"/>
  <c r="AK176"/>
  <c r="AK152"/>
  <c r="AK100"/>
  <c r="AK118"/>
  <c r="AK155"/>
  <c r="AK106"/>
  <c r="AK161"/>
  <c r="AK141"/>
  <c r="AK82"/>
  <c r="AK17"/>
  <c r="AK124"/>
  <c r="AK57"/>
  <c r="AK102"/>
  <c r="AK101"/>
  <c r="AK108"/>
  <c r="AK56"/>
  <c r="AK25"/>
  <c r="AK156"/>
  <c r="AK139"/>
  <c r="AK68"/>
  <c r="AK182"/>
  <c r="AK126"/>
  <c r="AK94"/>
  <c r="AK92"/>
  <c r="AK138"/>
  <c r="AK75"/>
  <c r="AK24"/>
  <c r="AK123"/>
  <c r="AK196"/>
  <c r="AK95"/>
  <c r="AK63"/>
  <c r="AK11"/>
  <c r="AK116"/>
  <c r="AK109"/>
  <c r="AK178"/>
  <c r="AK96"/>
  <c r="AK30"/>
  <c r="AK164"/>
  <c r="AK130"/>
  <c r="AK41"/>
  <c r="AK28"/>
  <c r="AK177"/>
  <c r="AK32"/>
  <c r="AK73"/>
  <c r="AK16"/>
  <c r="AK23"/>
  <c r="AK78"/>
  <c r="AK134"/>
  <c r="AK84"/>
  <c r="AK131"/>
  <c r="AK122"/>
  <c r="AK185"/>
  <c r="AK74"/>
  <c r="AK62"/>
  <c r="AK129"/>
  <c r="AK193"/>
  <c r="AK114"/>
  <c r="AK181"/>
  <c r="AK42"/>
  <c r="AK91"/>
  <c r="AK175"/>
  <c r="AK19"/>
  <c r="AK6"/>
  <c r="AK90"/>
  <c r="AK195"/>
  <c r="AK14"/>
  <c r="AK135"/>
  <c r="AK37"/>
  <c r="AK67"/>
  <c r="AK33"/>
  <c r="AK66"/>
  <c r="AK52"/>
  <c r="AK4"/>
  <c r="AK107"/>
  <c r="AK77"/>
  <c r="AK168"/>
  <c r="AK48"/>
  <c r="AK160"/>
  <c r="AK144"/>
  <c r="AK60"/>
  <c r="AK43"/>
  <c r="AK187"/>
  <c r="AK147"/>
  <c r="AK59"/>
  <c r="AK34"/>
  <c r="AK46"/>
  <c r="AK173"/>
  <c r="AK40"/>
  <c r="AK44"/>
  <c r="AK194"/>
  <c r="AK197"/>
  <c r="AK8"/>
  <c r="AK97"/>
  <c r="AK146"/>
  <c r="AK38"/>
  <c r="AK170"/>
  <c r="AK132"/>
  <c r="AK31"/>
  <c r="AK83"/>
  <c r="AK191"/>
  <c r="AK151"/>
  <c r="AK183"/>
  <c r="AK117"/>
  <c r="X27"/>
  <c r="X33"/>
  <c r="X38"/>
  <c r="X183"/>
  <c r="X151"/>
  <c r="X83"/>
  <c r="X97"/>
  <c r="X44"/>
  <c r="X52"/>
  <c r="X173"/>
  <c r="X60"/>
  <c r="Y168"/>
  <c r="X168"/>
  <c r="X175"/>
  <c r="X181"/>
  <c r="X74"/>
  <c r="X170"/>
  <c r="X46"/>
  <c r="X40"/>
  <c r="X14"/>
  <c r="X66"/>
  <c r="X91"/>
  <c r="X19"/>
  <c r="X67"/>
  <c r="X34"/>
  <c r="X48"/>
  <c r="X30"/>
  <c r="X37"/>
  <c r="X28"/>
  <c r="X62"/>
  <c r="X90"/>
  <c r="X122"/>
  <c r="X107"/>
  <c r="X11"/>
  <c r="X146"/>
  <c r="X96"/>
  <c r="X92"/>
  <c r="X154"/>
  <c r="X123"/>
  <c r="X185"/>
  <c r="X152"/>
  <c r="X25"/>
  <c r="X176"/>
  <c r="X129"/>
  <c r="X78"/>
  <c r="X56"/>
  <c r="X99"/>
  <c r="X24"/>
  <c r="X111"/>
  <c r="X100"/>
  <c r="X73"/>
  <c r="X21"/>
  <c r="X106"/>
  <c r="X109"/>
  <c r="X54"/>
  <c r="X124"/>
  <c r="X186"/>
  <c r="X153"/>
  <c r="X118"/>
  <c r="X140"/>
  <c r="X139"/>
  <c r="X58"/>
  <c r="X177"/>
  <c r="X41"/>
  <c r="X145"/>
  <c r="X47"/>
  <c r="X29"/>
  <c r="X116"/>
  <c r="X142"/>
  <c r="X98"/>
  <c r="X137"/>
  <c r="X104"/>
  <c r="X49"/>
  <c r="X157"/>
  <c r="X174"/>
  <c r="X26"/>
  <c r="X39"/>
  <c r="X61"/>
  <c r="X158"/>
  <c r="X65"/>
  <c r="X87"/>
  <c r="X71"/>
  <c r="X36"/>
  <c r="X143"/>
  <c r="X115"/>
  <c r="X45"/>
  <c r="X20"/>
  <c r="X89"/>
  <c r="X190"/>
  <c r="X53"/>
  <c r="X15"/>
  <c r="X162"/>
  <c r="X163"/>
  <c r="X188"/>
  <c r="X189"/>
  <c r="X50"/>
  <c r="X112"/>
  <c r="X69"/>
  <c r="X13"/>
  <c r="X85"/>
  <c r="X105"/>
  <c r="X127"/>
  <c r="X128"/>
  <c r="X171"/>
  <c r="X80"/>
  <c r="X133"/>
  <c r="Y195"/>
  <c r="T167"/>
  <c r="T184"/>
  <c r="T149"/>
  <c r="T166"/>
  <c r="T7"/>
  <c r="T125"/>
  <c r="T53"/>
  <c r="T93"/>
  <c r="T113"/>
  <c r="T117"/>
  <c r="T136"/>
  <c r="T18"/>
  <c r="T15"/>
  <c r="T119"/>
  <c r="T72"/>
  <c r="T21"/>
  <c r="T180"/>
  <c r="T150"/>
  <c r="T192"/>
  <c r="T169"/>
  <c r="T36"/>
  <c r="T148"/>
  <c r="T179"/>
  <c r="T9"/>
  <c r="T110"/>
  <c r="T159"/>
  <c r="T99"/>
  <c r="T95"/>
  <c r="T63"/>
  <c r="T178"/>
  <c r="T28"/>
  <c r="T75"/>
  <c r="T16"/>
  <c r="T84"/>
  <c r="T134"/>
  <c r="T23"/>
  <c r="T66"/>
  <c r="T42"/>
  <c r="T52"/>
  <c r="T48"/>
  <c r="T168"/>
  <c r="T60"/>
  <c r="T160"/>
  <c r="T59"/>
  <c r="T43"/>
  <c r="T44"/>
  <c r="T173"/>
  <c r="T8"/>
  <c r="T38"/>
  <c r="T31"/>
  <c r="T151"/>
  <c r="T165"/>
  <c r="T103"/>
  <c r="T132"/>
  <c r="AF4"/>
  <c r="N133"/>
  <c r="N128"/>
  <c r="N112"/>
  <c r="N105"/>
  <c r="N172"/>
  <c r="N64"/>
  <c r="N49"/>
  <c r="N157"/>
  <c r="N13"/>
  <c r="N171"/>
  <c r="N35"/>
  <c r="N85"/>
  <c r="N50"/>
  <c r="N158"/>
  <c r="N12"/>
  <c r="N127"/>
  <c r="N115"/>
  <c r="N79"/>
  <c r="N61"/>
  <c r="N51"/>
  <c r="N163"/>
  <c r="N143"/>
  <c r="N104"/>
  <c r="N20"/>
  <c r="N71"/>
  <c r="N47"/>
  <c r="N190"/>
  <c r="N142"/>
  <c r="N180"/>
  <c r="N69"/>
  <c r="N162"/>
  <c r="N65"/>
  <c r="N45"/>
  <c r="N169"/>
  <c r="N26"/>
  <c r="N153"/>
  <c r="N36"/>
  <c r="N86"/>
  <c r="N87"/>
  <c r="N188"/>
  <c r="N81"/>
  <c r="N98"/>
  <c r="N145"/>
  <c r="N39"/>
  <c r="N70"/>
  <c r="N120"/>
  <c r="N55"/>
  <c r="N121"/>
  <c r="N7"/>
  <c r="N103"/>
  <c r="N113"/>
  <c r="N117"/>
  <c r="N136"/>
  <c r="N165"/>
  <c r="N167"/>
  <c r="N184"/>
  <c r="N149"/>
  <c r="N166"/>
  <c r="N18"/>
  <c r="N22"/>
  <c r="N174"/>
  <c r="N125"/>
  <c r="N53"/>
  <c r="N93"/>
  <c r="N137"/>
  <c r="N89"/>
  <c r="N15"/>
  <c r="N10"/>
  <c r="N29"/>
  <c r="N186"/>
  <c r="N119"/>
  <c r="N21"/>
  <c r="N9"/>
  <c r="N111"/>
  <c r="N88"/>
  <c r="N72"/>
  <c r="N189"/>
  <c r="N54"/>
  <c r="N99"/>
  <c r="N118"/>
  <c r="N76"/>
  <c r="N140"/>
  <c r="N58"/>
  <c r="N150"/>
  <c r="N192"/>
  <c r="N176"/>
  <c r="N17"/>
  <c r="N82"/>
  <c r="N148"/>
  <c r="N152"/>
  <c r="N5"/>
  <c r="N27"/>
  <c r="N106"/>
  <c r="N25"/>
  <c r="N154"/>
  <c r="N161"/>
  <c r="N56"/>
  <c r="N57"/>
  <c r="N141"/>
  <c r="N102"/>
  <c r="N155"/>
  <c r="N101"/>
  <c r="N156"/>
  <c r="N124"/>
  <c r="N100"/>
  <c r="N139"/>
  <c r="N182"/>
  <c r="N108"/>
  <c r="N68"/>
  <c r="N179"/>
  <c r="N95"/>
  <c r="N138"/>
  <c r="N24"/>
  <c r="N196"/>
  <c r="N126"/>
  <c r="N63"/>
  <c r="N123"/>
  <c r="N110"/>
  <c r="N159"/>
  <c r="N109"/>
  <c r="N116"/>
  <c r="N92"/>
  <c r="N11"/>
  <c r="N164"/>
  <c r="N178"/>
  <c r="N177"/>
  <c r="N30"/>
  <c r="N41"/>
  <c r="N73"/>
  <c r="N96"/>
  <c r="N130"/>
  <c r="N75"/>
  <c r="N16"/>
  <c r="N32"/>
  <c r="N78"/>
  <c r="N185"/>
  <c r="N84"/>
  <c r="N129"/>
  <c r="N134"/>
  <c r="N23"/>
  <c r="N91"/>
  <c r="N94"/>
  <c r="N122"/>
  <c r="N114"/>
  <c r="N62"/>
  <c r="N19"/>
  <c r="N14"/>
  <c r="N131"/>
  <c r="N175"/>
  <c r="N74"/>
  <c r="N193"/>
  <c r="N90"/>
  <c r="N181"/>
  <c r="N33"/>
  <c r="N6"/>
  <c r="N67"/>
  <c r="N66"/>
  <c r="N28"/>
  <c r="N42"/>
  <c r="N107"/>
  <c r="N52"/>
  <c r="N135"/>
  <c r="N4"/>
  <c r="N48"/>
  <c r="N168"/>
  <c r="N60"/>
  <c r="N187"/>
  <c r="N77"/>
  <c r="N195"/>
  <c r="N40"/>
  <c r="N144"/>
  <c r="N59"/>
  <c r="N147"/>
  <c r="N43"/>
  <c r="N34"/>
  <c r="N37"/>
  <c r="N46"/>
  <c r="N97"/>
  <c r="N194"/>
  <c r="N44"/>
  <c r="N173"/>
  <c r="N146"/>
  <c r="N8"/>
  <c r="N38"/>
  <c r="N160"/>
  <c r="N170"/>
  <c r="N191"/>
  <c r="N197"/>
  <c r="N132"/>
  <c r="N183"/>
  <c r="N151"/>
  <c r="N83"/>
  <c r="N31"/>
  <c r="N80"/>
  <c r="I83"/>
  <c r="G81"/>
  <c r="X81"/>
  <c r="X79"/>
  <c r="X64"/>
  <c r="I64"/>
  <c r="X35"/>
  <c r="I35"/>
  <c r="X12"/>
  <c r="X10"/>
  <c r="J5"/>
  <c r="W5" s="1"/>
  <c r="J6"/>
  <c r="K6" s="1"/>
  <c r="J7"/>
  <c r="J8"/>
  <c r="W8" s="1"/>
  <c r="J9"/>
  <c r="W9" s="1"/>
  <c r="J10"/>
  <c r="K10" s="1"/>
  <c r="J11"/>
  <c r="J12"/>
  <c r="W12" s="1"/>
  <c r="J13"/>
  <c r="W13" s="1"/>
  <c r="J14"/>
  <c r="K14" s="1"/>
  <c r="J15"/>
  <c r="J16"/>
  <c r="W16" s="1"/>
  <c r="J17"/>
  <c r="J18"/>
  <c r="K18" s="1"/>
  <c r="J19"/>
  <c r="J20"/>
  <c r="W20" s="1"/>
  <c r="J21"/>
  <c r="W21" s="1"/>
  <c r="J22"/>
  <c r="K22" s="1"/>
  <c r="W22" s="1"/>
  <c r="J23"/>
  <c r="W23" s="1"/>
  <c r="J24"/>
  <c r="W24" s="1"/>
  <c r="J25"/>
  <c r="W25" s="1"/>
  <c r="J26"/>
  <c r="K26" s="1"/>
  <c r="J27"/>
  <c r="W27" s="1"/>
  <c r="J28"/>
  <c r="J29"/>
  <c r="W29" s="1"/>
  <c r="J30"/>
  <c r="K30" s="1"/>
  <c r="W30" s="1"/>
  <c r="J31"/>
  <c r="J32"/>
  <c r="J33"/>
  <c r="J34"/>
  <c r="K34" s="1"/>
  <c r="J35"/>
  <c r="W35" s="1"/>
  <c r="J36"/>
  <c r="J37"/>
  <c r="J38"/>
  <c r="K38" s="1"/>
  <c r="W38" s="1"/>
  <c r="J39"/>
  <c r="W39" s="1"/>
  <c r="W40"/>
  <c r="J41"/>
  <c r="W41" s="1"/>
  <c r="J42"/>
  <c r="K42" s="1"/>
  <c r="W42" s="1"/>
  <c r="J43"/>
  <c r="J44"/>
  <c r="J45"/>
  <c r="W45" s="1"/>
  <c r="J46"/>
  <c r="K46" s="1"/>
  <c r="J47"/>
  <c r="W47" s="1"/>
  <c r="J48"/>
  <c r="W48" s="1"/>
  <c r="J49"/>
  <c r="W49" s="1"/>
  <c r="J50"/>
  <c r="K50" s="1"/>
  <c r="J51"/>
  <c r="W51" s="1"/>
  <c r="J52"/>
  <c r="J53"/>
  <c r="W53" s="1"/>
  <c r="J54"/>
  <c r="K54" s="1"/>
  <c r="J55"/>
  <c r="J56"/>
  <c r="J57"/>
  <c r="W57" s="1"/>
  <c r="J58"/>
  <c r="K58" s="1"/>
  <c r="J59"/>
  <c r="W59" s="1"/>
  <c r="J60"/>
  <c r="J61"/>
  <c r="W61" s="1"/>
  <c r="J62"/>
  <c r="K62" s="1"/>
  <c r="J63"/>
  <c r="J64"/>
  <c r="W64" s="1"/>
  <c r="J65"/>
  <c r="W65" s="1"/>
  <c r="J66"/>
  <c r="K66" s="1"/>
  <c r="J67"/>
  <c r="J68"/>
  <c r="J69"/>
  <c r="W69" s="1"/>
  <c r="J70"/>
  <c r="K70" s="1"/>
  <c r="J71"/>
  <c r="W71" s="1"/>
  <c r="J72"/>
  <c r="J73"/>
  <c r="W73" s="1"/>
  <c r="J74"/>
  <c r="K74" s="1"/>
  <c r="W74" s="1"/>
  <c r="J75"/>
  <c r="J76"/>
  <c r="W76" s="1"/>
  <c r="J77"/>
  <c r="J78"/>
  <c r="K78" s="1"/>
  <c r="J79"/>
  <c r="K79" s="1"/>
  <c r="J80"/>
  <c r="K80" s="1"/>
  <c r="J81"/>
  <c r="K81" s="1"/>
  <c r="J82"/>
  <c r="K82" s="1"/>
  <c r="J83"/>
  <c r="K83" s="1"/>
  <c r="J84"/>
  <c r="J85"/>
  <c r="W85" s="1"/>
  <c r="J86"/>
  <c r="K86" s="1"/>
  <c r="J87"/>
  <c r="W87" s="1"/>
  <c r="J88"/>
  <c r="W88" s="1"/>
  <c r="J89"/>
  <c r="W89" s="1"/>
  <c r="J90"/>
  <c r="K90" s="1"/>
  <c r="J91"/>
  <c r="W91" s="1"/>
  <c r="J92"/>
  <c r="W92" s="1"/>
  <c r="J93"/>
  <c r="J94"/>
  <c r="K94" s="1"/>
  <c r="J95"/>
  <c r="W95" s="1"/>
  <c r="J96"/>
  <c r="J97"/>
  <c r="J98"/>
  <c r="K98" s="1"/>
  <c r="J99"/>
  <c r="W99" s="1"/>
  <c r="J100"/>
  <c r="J101"/>
  <c r="J102"/>
  <c r="K102" s="1"/>
  <c r="J103"/>
  <c r="J104"/>
  <c r="W104" s="1"/>
  <c r="J105"/>
  <c r="W105" s="1"/>
  <c r="J106"/>
  <c r="K106" s="1"/>
  <c r="J107"/>
  <c r="J108"/>
  <c r="K108" s="1"/>
  <c r="J109"/>
  <c r="W109" s="1"/>
  <c r="J110"/>
  <c r="J111"/>
  <c r="W111" s="1"/>
  <c r="J112"/>
  <c r="K112" s="1"/>
  <c r="J113"/>
  <c r="J114"/>
  <c r="J115"/>
  <c r="W115" s="1"/>
  <c r="J116"/>
  <c r="K116" s="1"/>
  <c r="J117"/>
  <c r="J118"/>
  <c r="W118" s="1"/>
  <c r="J119"/>
  <c r="J120"/>
  <c r="K120" s="1"/>
  <c r="W120" s="1"/>
  <c r="J121"/>
  <c r="W121" s="1"/>
  <c r="J122"/>
  <c r="W122" s="1"/>
  <c r="J123"/>
  <c r="W123" s="1"/>
  <c r="J124"/>
  <c r="K124" s="1"/>
  <c r="J125"/>
  <c r="J126"/>
  <c r="J127"/>
  <c r="W127" s="1"/>
  <c r="J128"/>
  <c r="K128" s="1"/>
  <c r="J129"/>
  <c r="W129" s="1"/>
  <c r="J130"/>
  <c r="J131"/>
  <c r="J132"/>
  <c r="K132" s="1"/>
  <c r="W132" s="1"/>
  <c r="J133"/>
  <c r="W133" s="1"/>
  <c r="J134"/>
  <c r="K134" s="1"/>
  <c r="J135"/>
  <c r="J136"/>
  <c r="J137"/>
  <c r="W137" s="1"/>
  <c r="J138"/>
  <c r="K138" s="1"/>
  <c r="J139"/>
  <c r="W139" s="1"/>
  <c r="J140"/>
  <c r="W140" s="1"/>
  <c r="J141"/>
  <c r="J142"/>
  <c r="K142" s="1"/>
  <c r="J143"/>
  <c r="W143" s="1"/>
  <c r="J144"/>
  <c r="W144" s="1"/>
  <c r="J145"/>
  <c r="W145" s="1"/>
  <c r="J146"/>
  <c r="K146" s="1"/>
  <c r="J147"/>
  <c r="J148"/>
  <c r="J149"/>
  <c r="J150"/>
  <c r="K150" s="1"/>
  <c r="W150" s="1"/>
  <c r="J151"/>
  <c r="W151" s="1"/>
  <c r="J152"/>
  <c r="W152" s="1"/>
  <c r="J153"/>
  <c r="W153" s="1"/>
  <c r="J154"/>
  <c r="K154" s="1"/>
  <c r="J155"/>
  <c r="J156"/>
  <c r="J157"/>
  <c r="W157" s="1"/>
  <c r="J158"/>
  <c r="K158" s="1"/>
  <c r="J159"/>
  <c r="J160"/>
  <c r="J161"/>
  <c r="J162"/>
  <c r="K162" s="1"/>
  <c r="J163"/>
  <c r="W163" s="1"/>
  <c r="J164"/>
  <c r="W164" s="1"/>
  <c r="J165"/>
  <c r="W165" s="1"/>
  <c r="J166"/>
  <c r="K166" s="1"/>
  <c r="J167"/>
  <c r="W167" s="1"/>
  <c r="J168"/>
  <c r="W168" s="1"/>
  <c r="J169"/>
  <c r="J170"/>
  <c r="K170" s="1"/>
  <c r="W170" s="1"/>
  <c r="J171"/>
  <c r="W171" s="1"/>
  <c r="J172"/>
  <c r="J173"/>
  <c r="W173" s="1"/>
  <c r="J174"/>
  <c r="K174" s="1"/>
  <c r="J175"/>
  <c r="J176"/>
  <c r="W176" s="1"/>
  <c r="J177"/>
  <c r="W177" s="1"/>
  <c r="J178"/>
  <c r="K178" s="1"/>
  <c r="W178" s="1"/>
  <c r="J179"/>
  <c r="J180"/>
  <c r="W180" s="1"/>
  <c r="J181"/>
  <c r="W181" s="1"/>
  <c r="J182"/>
  <c r="K182" s="1"/>
  <c r="J183"/>
  <c r="J184"/>
  <c r="J185"/>
  <c r="W185" s="1"/>
  <c r="J186"/>
  <c r="K186" s="1"/>
  <c r="J187"/>
  <c r="J188"/>
  <c r="W188" s="1"/>
  <c r="J189"/>
  <c r="W189" s="1"/>
  <c r="J190"/>
  <c r="K190" s="1"/>
  <c r="J191"/>
  <c r="W191" s="1"/>
  <c r="J192"/>
  <c r="J193"/>
  <c r="J194"/>
  <c r="K194" s="1"/>
  <c r="J195"/>
  <c r="W195" s="1"/>
  <c r="J196"/>
  <c r="J197"/>
  <c r="W197" s="1"/>
  <c r="V161"/>
  <c r="J4"/>
  <c r="K4" s="1"/>
  <c r="W4" s="1"/>
  <c r="S197"/>
  <c r="S68"/>
  <c r="S106"/>
  <c r="S83"/>
  <c r="S186"/>
  <c r="S25"/>
  <c r="S14"/>
  <c r="S91"/>
  <c r="S146"/>
  <c r="S140"/>
  <c r="S45"/>
  <c r="S19"/>
  <c r="S153"/>
  <c r="S180"/>
  <c r="S29"/>
  <c r="S109"/>
  <c r="S116"/>
  <c r="S151"/>
  <c r="S137"/>
  <c r="S102"/>
  <c r="T102" s="1"/>
  <c r="S190"/>
  <c r="S47"/>
  <c r="S145"/>
  <c r="S121"/>
  <c r="S98"/>
  <c r="S95"/>
  <c r="S39"/>
  <c r="S104"/>
  <c r="S15"/>
  <c r="S18"/>
  <c r="S16"/>
  <c r="S144"/>
  <c r="S79"/>
  <c r="S28"/>
  <c r="S49"/>
  <c r="S61"/>
  <c r="S112"/>
  <c r="S157"/>
  <c r="S158"/>
  <c r="S50"/>
  <c r="S188"/>
  <c r="S13"/>
  <c r="S105"/>
  <c r="S87"/>
  <c r="S71"/>
  <c r="S163"/>
  <c r="S51"/>
  <c r="S20"/>
  <c r="S64"/>
  <c r="S80"/>
  <c r="S86"/>
  <c r="S65"/>
  <c r="S162"/>
  <c r="S69"/>
  <c r="S89"/>
  <c r="S171"/>
  <c r="S35"/>
  <c r="S127"/>
  <c r="S103"/>
  <c r="S85"/>
  <c r="S189"/>
  <c r="S128"/>
  <c r="S12"/>
  <c r="S133"/>
  <c r="S7"/>
  <c r="V131"/>
  <c r="S131"/>
  <c r="X135"/>
  <c r="V135"/>
  <c r="S135"/>
  <c r="V187"/>
  <c r="S187"/>
  <c r="S195"/>
  <c r="X196"/>
  <c r="V196"/>
  <c r="S196"/>
  <c r="V193"/>
  <c r="S193"/>
  <c r="V56"/>
  <c r="S56"/>
  <c r="X51"/>
  <c r="X197"/>
  <c r="I197"/>
  <c r="V156"/>
  <c r="S156"/>
  <c r="I156"/>
  <c r="X156"/>
  <c r="X82"/>
  <c r="V82"/>
  <c r="X77"/>
  <c r="S77"/>
  <c r="X141"/>
  <c r="V141"/>
  <c r="S141"/>
  <c r="X17"/>
  <c r="V17"/>
  <c r="S17"/>
  <c r="I17"/>
  <c r="X6"/>
  <c r="Y6" s="1"/>
  <c r="V6"/>
  <c r="S6"/>
  <c r="S5"/>
  <c r="Y5"/>
  <c r="Y11"/>
  <c r="Y12"/>
  <c r="Y13"/>
  <c r="Y14"/>
  <c r="Y15"/>
  <c r="Y17"/>
  <c r="Y19"/>
  <c r="Y20"/>
  <c r="Y21"/>
  <c r="Y24"/>
  <c r="Y25"/>
  <c r="Y26"/>
  <c r="Y27"/>
  <c r="Y28"/>
  <c r="Y29"/>
  <c r="Y30"/>
  <c r="Y33"/>
  <c r="Y34"/>
  <c r="Y35"/>
  <c r="Y36"/>
  <c r="Y37"/>
  <c r="Y38"/>
  <c r="Y39"/>
  <c r="Y40"/>
  <c r="Y41"/>
  <c r="Y44"/>
  <c r="Y45"/>
  <c r="Y46"/>
  <c r="Y47"/>
  <c r="Y48"/>
  <c r="Y49"/>
  <c r="Y50"/>
  <c r="Y51"/>
  <c r="Y52"/>
  <c r="Y53"/>
  <c r="Y54"/>
  <c r="Y56"/>
  <c r="Y57"/>
  <c r="Y58"/>
  <c r="Y60"/>
  <c r="Y61"/>
  <c r="Y62"/>
  <c r="Y64"/>
  <c r="Y65"/>
  <c r="Y66"/>
  <c r="Y67"/>
  <c r="Y69"/>
  <c r="Y71"/>
  <c r="Y73"/>
  <c r="Y74"/>
  <c r="Y77"/>
  <c r="Y78"/>
  <c r="Y79"/>
  <c r="Y80"/>
  <c r="Y81"/>
  <c r="Y82"/>
  <c r="Y85"/>
  <c r="Y87"/>
  <c r="Y89"/>
  <c r="Y90"/>
  <c r="Y91"/>
  <c r="Y92"/>
  <c r="Y96"/>
  <c r="Y97"/>
  <c r="Y98"/>
  <c r="Y99"/>
  <c r="Y100"/>
  <c r="Y104"/>
  <c r="Y105"/>
  <c r="Y106"/>
  <c r="Y107"/>
  <c r="W18"/>
  <c r="W50"/>
  <c r="W66"/>
  <c r="W79"/>
  <c r="W81"/>
  <c r="W83"/>
  <c r="W94"/>
  <c r="T4"/>
  <c r="T5"/>
  <c r="T6"/>
  <c r="T10"/>
  <c r="T11"/>
  <c r="T12"/>
  <c r="T13"/>
  <c r="T14"/>
  <c r="T17"/>
  <c r="T19"/>
  <c r="T20"/>
  <c r="T22"/>
  <c r="T24"/>
  <c r="T25"/>
  <c r="T26"/>
  <c r="T27"/>
  <c r="T29"/>
  <c r="T30"/>
  <c r="T32"/>
  <c r="T33"/>
  <c r="T34"/>
  <c r="T35"/>
  <c r="T37"/>
  <c r="T39"/>
  <c r="T40"/>
  <c r="T41"/>
  <c r="T45"/>
  <c r="T46"/>
  <c r="T47"/>
  <c r="T49"/>
  <c r="T50"/>
  <c r="T51"/>
  <c r="T54"/>
  <c r="T55"/>
  <c r="T56"/>
  <c r="T57"/>
  <c r="T58"/>
  <c r="T61"/>
  <c r="T62"/>
  <c r="T64"/>
  <c r="T65"/>
  <c r="T67"/>
  <c r="T68"/>
  <c r="T69"/>
  <c r="T70"/>
  <c r="T71"/>
  <c r="T73"/>
  <c r="T74"/>
  <c r="T76"/>
  <c r="T77"/>
  <c r="T78"/>
  <c r="T79"/>
  <c r="T80"/>
  <c r="T81"/>
  <c r="T82"/>
  <c r="T83"/>
  <c r="T85"/>
  <c r="T86"/>
  <c r="T87"/>
  <c r="T88"/>
  <c r="T89"/>
  <c r="T90"/>
  <c r="T91"/>
  <c r="T92"/>
  <c r="T94"/>
  <c r="T96"/>
  <c r="T97"/>
  <c r="T98"/>
  <c r="T100"/>
  <c r="T101"/>
  <c r="T104"/>
  <c r="T105"/>
  <c r="T106"/>
  <c r="T107"/>
  <c r="G4"/>
  <c r="H4" s="1"/>
  <c r="G5"/>
  <c r="H5" s="1"/>
  <c r="G6"/>
  <c r="H6" s="1"/>
  <c r="G7"/>
  <c r="G8"/>
  <c r="H8" s="1"/>
  <c r="G9"/>
  <c r="G10"/>
  <c r="H10" s="1"/>
  <c r="G11"/>
  <c r="H11" s="1"/>
  <c r="G12"/>
  <c r="H12" s="1"/>
  <c r="G13"/>
  <c r="H13" s="1"/>
  <c r="G14"/>
  <c r="H14" s="1"/>
  <c r="G15"/>
  <c r="H15" s="1"/>
  <c r="G16"/>
  <c r="G17"/>
  <c r="H17" s="1"/>
  <c r="G18"/>
  <c r="G19"/>
  <c r="H19" s="1"/>
  <c r="G20"/>
  <c r="H20" s="1"/>
  <c r="G21"/>
  <c r="G22"/>
  <c r="H22" s="1"/>
  <c r="G23"/>
  <c r="H23" s="1"/>
  <c r="G24"/>
  <c r="H24" s="1"/>
  <c r="G25"/>
  <c r="H25" s="1"/>
  <c r="G26"/>
  <c r="G27"/>
  <c r="H27" s="1"/>
  <c r="G28"/>
  <c r="G29"/>
  <c r="H29" s="1"/>
  <c r="G30"/>
  <c r="H30" s="1"/>
  <c r="G31"/>
  <c r="H31" s="1"/>
  <c r="G32"/>
  <c r="H32" s="1"/>
  <c r="G33"/>
  <c r="H33" s="1"/>
  <c r="G34"/>
  <c r="H34" s="1"/>
  <c r="G35"/>
  <c r="H35" s="1"/>
  <c r="G36"/>
  <c r="H36" s="1"/>
  <c r="G37"/>
  <c r="H37" s="1"/>
  <c r="G38"/>
  <c r="H38" s="1"/>
  <c r="G39"/>
  <c r="H39" s="1"/>
  <c r="H40"/>
  <c r="G41"/>
  <c r="H41" s="1"/>
  <c r="G42"/>
  <c r="H42" s="1"/>
  <c r="G43"/>
  <c r="H43" s="1"/>
  <c r="G44"/>
  <c r="H44" s="1"/>
  <c r="G45"/>
  <c r="H45" s="1"/>
  <c r="G46"/>
  <c r="H46" s="1"/>
  <c r="G47"/>
  <c r="G48"/>
  <c r="G49"/>
  <c r="G50"/>
  <c r="G51"/>
  <c r="H51" s="1"/>
  <c r="G52"/>
  <c r="H52" s="1"/>
  <c r="G53"/>
  <c r="G54"/>
  <c r="H54" s="1"/>
  <c r="G55"/>
  <c r="G56"/>
  <c r="H56" s="1"/>
  <c r="G57"/>
  <c r="H57" s="1"/>
  <c r="G58"/>
  <c r="H58" s="1"/>
  <c r="G59"/>
  <c r="G60"/>
  <c r="G61"/>
  <c r="H61" s="1"/>
  <c r="G62"/>
  <c r="H62" s="1"/>
  <c r="G63"/>
  <c r="G64"/>
  <c r="H64" s="1"/>
  <c r="G65"/>
  <c r="H65" s="1"/>
  <c r="G66"/>
  <c r="H66" s="1"/>
  <c r="G67"/>
  <c r="H67" s="1"/>
  <c r="G68"/>
  <c r="H68" s="1"/>
  <c r="G69"/>
  <c r="H69" s="1"/>
  <c r="G70"/>
  <c r="H70" s="1"/>
  <c r="G71"/>
  <c r="H71" s="1"/>
  <c r="G72"/>
  <c r="G73"/>
  <c r="H73" s="1"/>
  <c r="G74"/>
  <c r="H74" s="1"/>
  <c r="G75"/>
  <c r="H75" s="1"/>
  <c r="G76"/>
  <c r="H76" s="1"/>
  <c r="G77"/>
  <c r="H77" s="1"/>
  <c r="G78"/>
  <c r="H78" s="1"/>
  <c r="G79"/>
  <c r="H79" s="1"/>
  <c r="G80"/>
  <c r="H81"/>
  <c r="G82"/>
  <c r="H82" s="1"/>
  <c r="G83"/>
  <c r="H83" s="1"/>
  <c r="G84"/>
  <c r="H84" s="1"/>
  <c r="G85"/>
  <c r="H85" s="1"/>
  <c r="G86"/>
  <c r="H86" s="1"/>
  <c r="G87"/>
  <c r="H87" s="1"/>
  <c r="G88"/>
  <c r="H88" s="1"/>
  <c r="G89"/>
  <c r="H89" s="1"/>
  <c r="G90"/>
  <c r="H90" s="1"/>
  <c r="G91"/>
  <c r="H91" s="1"/>
  <c r="G92"/>
  <c r="H92" s="1"/>
  <c r="G93"/>
  <c r="G94"/>
  <c r="G95"/>
  <c r="G96"/>
  <c r="H96" s="1"/>
  <c r="G97"/>
  <c r="H97" s="1"/>
  <c r="G98"/>
  <c r="H98" s="1"/>
  <c r="G99"/>
  <c r="G100"/>
  <c r="H100" s="1"/>
  <c r="G101"/>
  <c r="H101" s="1"/>
  <c r="G103"/>
  <c r="G104"/>
  <c r="H104" s="1"/>
  <c r="G105"/>
  <c r="H105" s="1"/>
  <c r="G106"/>
  <c r="H106" s="1"/>
  <c r="G107"/>
  <c r="H107" s="1"/>
  <c r="V172"/>
  <c r="X172"/>
  <c r="X182"/>
  <c r="V182"/>
  <c r="S182"/>
  <c r="X194"/>
  <c r="W128"/>
  <c r="W146"/>
  <c r="W166"/>
  <c r="W190"/>
  <c r="Y109"/>
  <c r="Y111"/>
  <c r="Y112"/>
  <c r="Y115"/>
  <c r="Y116"/>
  <c r="Y118"/>
  <c r="Y122"/>
  <c r="Y123"/>
  <c r="Y124"/>
  <c r="Y127"/>
  <c r="Y128"/>
  <c r="Y129"/>
  <c r="Y131"/>
  <c r="Y133"/>
  <c r="Y135"/>
  <c r="Y137"/>
  <c r="Y139"/>
  <c r="Y140"/>
  <c r="Y141"/>
  <c r="Y142"/>
  <c r="Y143"/>
  <c r="Y145"/>
  <c r="Y146"/>
  <c r="Y151"/>
  <c r="Y152"/>
  <c r="Y153"/>
  <c r="Y154"/>
  <c r="Y156"/>
  <c r="Y157"/>
  <c r="Y158"/>
  <c r="Y161"/>
  <c r="Y162"/>
  <c r="Y163"/>
  <c r="Y170"/>
  <c r="Y171"/>
  <c r="Y172"/>
  <c r="Y174"/>
  <c r="Y175"/>
  <c r="Y176"/>
  <c r="Y177"/>
  <c r="Y181"/>
  <c r="Y182"/>
  <c r="Y183"/>
  <c r="Y185"/>
  <c r="Y186"/>
  <c r="Y187"/>
  <c r="Y188"/>
  <c r="Y190"/>
  <c r="Y193"/>
  <c r="Y194"/>
  <c r="Y196"/>
  <c r="Y197"/>
  <c r="T109"/>
  <c r="T111"/>
  <c r="T112"/>
  <c r="T114"/>
  <c r="T115"/>
  <c r="T116"/>
  <c r="T118"/>
  <c r="T120"/>
  <c r="T121"/>
  <c r="T122"/>
  <c r="T123"/>
  <c r="T124"/>
  <c r="T126"/>
  <c r="T127"/>
  <c r="T128"/>
  <c r="T129"/>
  <c r="T130"/>
  <c r="T131"/>
  <c r="T133"/>
  <c r="T135"/>
  <c r="T137"/>
  <c r="T138"/>
  <c r="T139"/>
  <c r="T140"/>
  <c r="T141"/>
  <c r="T142"/>
  <c r="T143"/>
  <c r="T144"/>
  <c r="T145"/>
  <c r="T146"/>
  <c r="T147"/>
  <c r="T152"/>
  <c r="T153"/>
  <c r="T154"/>
  <c r="T156"/>
  <c r="T157"/>
  <c r="T158"/>
  <c r="T161"/>
  <c r="T162"/>
  <c r="T163"/>
  <c r="T164"/>
  <c r="T170"/>
  <c r="T171"/>
  <c r="T172"/>
  <c r="T174"/>
  <c r="T175"/>
  <c r="T176"/>
  <c r="T177"/>
  <c r="T181"/>
  <c r="T182"/>
  <c r="T183"/>
  <c r="T185"/>
  <c r="T186"/>
  <c r="T187"/>
  <c r="T188"/>
  <c r="T189"/>
  <c r="T190"/>
  <c r="T191"/>
  <c r="T193"/>
  <c r="T195"/>
  <c r="T196"/>
  <c r="T197"/>
  <c r="S194"/>
  <c r="T194" s="1"/>
  <c r="G109"/>
  <c r="H109" s="1"/>
  <c r="G110"/>
  <c r="G111"/>
  <c r="H111" s="1"/>
  <c r="G112"/>
  <c r="G113"/>
  <c r="G114"/>
  <c r="H114" s="1"/>
  <c r="G115"/>
  <c r="G116"/>
  <c r="H116" s="1"/>
  <c r="G117"/>
  <c r="G118"/>
  <c r="H118" s="1"/>
  <c r="G119"/>
  <c r="G120"/>
  <c r="H120" s="1"/>
  <c r="G121"/>
  <c r="H121" s="1"/>
  <c r="G122"/>
  <c r="H122" s="1"/>
  <c r="G123"/>
  <c r="H123" s="1"/>
  <c r="G124"/>
  <c r="H124" s="1"/>
  <c r="G125"/>
  <c r="G126"/>
  <c r="H126" s="1"/>
  <c r="G127"/>
  <c r="H127" s="1"/>
  <c r="G128"/>
  <c r="G129"/>
  <c r="H129" s="1"/>
  <c r="G130"/>
  <c r="H130" s="1"/>
  <c r="G131"/>
  <c r="H131" s="1"/>
  <c r="G132"/>
  <c r="G133"/>
  <c r="H133" s="1"/>
  <c r="G134"/>
  <c r="G135"/>
  <c r="H135" s="1"/>
  <c r="G136"/>
  <c r="G137"/>
  <c r="H137" s="1"/>
  <c r="G138"/>
  <c r="H138" s="1"/>
  <c r="G139"/>
  <c r="H139" s="1"/>
  <c r="G140"/>
  <c r="H140" s="1"/>
  <c r="G141"/>
  <c r="H141" s="1"/>
  <c r="G142"/>
  <c r="H142" s="1"/>
  <c r="G143"/>
  <c r="H143" s="1"/>
  <c r="G144"/>
  <c r="H144" s="1"/>
  <c r="G145"/>
  <c r="H145" s="1"/>
  <c r="G146"/>
  <c r="H146" s="1"/>
  <c r="G147"/>
  <c r="H147" s="1"/>
  <c r="G148"/>
  <c r="G149"/>
  <c r="G150"/>
  <c r="G151"/>
  <c r="G152"/>
  <c r="H152" s="1"/>
  <c r="G153"/>
  <c r="G154"/>
  <c r="H154" s="1"/>
  <c r="G155"/>
  <c r="H155" s="1"/>
  <c r="G156"/>
  <c r="H156" s="1"/>
  <c r="G157"/>
  <c r="H157" s="1"/>
  <c r="G158"/>
  <c r="H158" s="1"/>
  <c r="G159"/>
  <c r="G160"/>
  <c r="G161"/>
  <c r="H161" s="1"/>
  <c r="G162"/>
  <c r="H162" s="1"/>
  <c r="G163"/>
  <c r="H163" s="1"/>
  <c r="G164"/>
  <c r="H164" s="1"/>
  <c r="G165"/>
  <c r="G166"/>
  <c r="G167"/>
  <c r="G168"/>
  <c r="G169"/>
  <c r="G170"/>
  <c r="H170" s="1"/>
  <c r="G171"/>
  <c r="H171" s="1"/>
  <c r="G172"/>
  <c r="H172" s="1"/>
  <c r="G173"/>
  <c r="G174"/>
  <c r="H174" s="1"/>
  <c r="G175"/>
  <c r="H175" s="1"/>
  <c r="G176"/>
  <c r="H176" s="1"/>
  <c r="G177"/>
  <c r="H177" s="1"/>
  <c r="G178"/>
  <c r="H178" s="1"/>
  <c r="G179"/>
  <c r="G180"/>
  <c r="G181"/>
  <c r="H181" s="1"/>
  <c r="G182"/>
  <c r="H182" s="1"/>
  <c r="G183"/>
  <c r="H183" s="1"/>
  <c r="G184"/>
  <c r="G185"/>
  <c r="H185" s="1"/>
  <c r="G186"/>
  <c r="H186" s="1"/>
  <c r="G187"/>
  <c r="H187" s="1"/>
  <c r="G188"/>
  <c r="H188" s="1"/>
  <c r="G189"/>
  <c r="H189" s="1"/>
  <c r="G190"/>
  <c r="H190" s="1"/>
  <c r="G191"/>
  <c r="H191" s="1"/>
  <c r="G192"/>
  <c r="G193"/>
  <c r="H193" s="1"/>
  <c r="G194"/>
  <c r="H194" s="1"/>
  <c r="G195"/>
  <c r="H195" s="1"/>
  <c r="G196"/>
  <c r="H196" s="1"/>
  <c r="G197"/>
  <c r="H197" s="1"/>
  <c r="V108"/>
  <c r="S108"/>
  <c r="T108" s="1"/>
  <c r="E116"/>
  <c r="AO116" s="1"/>
  <c r="E117"/>
  <c r="AO117" s="1"/>
  <c r="E118"/>
  <c r="AO118" s="1"/>
  <c r="E119"/>
  <c r="AO119" s="1"/>
  <c r="E120"/>
  <c r="AO120" s="1"/>
  <c r="E121"/>
  <c r="AO121" s="1"/>
  <c r="E122"/>
  <c r="AO122" s="1"/>
  <c r="E123"/>
  <c r="AO123" s="1"/>
  <c r="E124"/>
  <c r="AO124" s="1"/>
  <c r="E125"/>
  <c r="AO125" s="1"/>
  <c r="E126"/>
  <c r="AO126" s="1"/>
  <c r="E127"/>
  <c r="AO127" s="1"/>
  <c r="E128"/>
  <c r="AO128" s="1"/>
  <c r="E129"/>
  <c r="AO129" s="1"/>
  <c r="E130"/>
  <c r="AO130" s="1"/>
  <c r="E131"/>
  <c r="AO131" s="1"/>
  <c r="E132"/>
  <c r="AO132" s="1"/>
  <c r="E133"/>
  <c r="AO133" s="1"/>
  <c r="E134"/>
  <c r="AO134" s="1"/>
  <c r="E135"/>
  <c r="AO135" s="1"/>
  <c r="E136"/>
  <c r="AO136" s="1"/>
  <c r="E137"/>
  <c r="AO137" s="1"/>
  <c r="E138"/>
  <c r="AO138" s="1"/>
  <c r="E139"/>
  <c r="AO139" s="1"/>
  <c r="E140"/>
  <c r="AO140" s="1"/>
  <c r="E141"/>
  <c r="AO141" s="1"/>
  <c r="E142"/>
  <c r="AO142" s="1"/>
  <c r="E143"/>
  <c r="AO143" s="1"/>
  <c r="E144"/>
  <c r="AO144" s="1"/>
  <c r="E145"/>
  <c r="AO145" s="1"/>
  <c r="E146"/>
  <c r="AO146" s="1"/>
  <c r="E147"/>
  <c r="AO147" s="1"/>
  <c r="E148"/>
  <c r="AO148" s="1"/>
  <c r="E149"/>
  <c r="AO149" s="1"/>
  <c r="E150"/>
  <c r="AO150" s="1"/>
  <c r="E151"/>
  <c r="AO151" s="1"/>
  <c r="E152"/>
  <c r="AO152" s="1"/>
  <c r="E153"/>
  <c r="AO153" s="1"/>
  <c r="E154"/>
  <c r="AO154" s="1"/>
  <c r="E155"/>
  <c r="AO155" s="1"/>
  <c r="E156"/>
  <c r="AO156" s="1"/>
  <c r="E157"/>
  <c r="AO157" s="1"/>
  <c r="E158"/>
  <c r="AO158" s="1"/>
  <c r="E159"/>
  <c r="AO159" s="1"/>
  <c r="E160"/>
  <c r="AO160" s="1"/>
  <c r="E161"/>
  <c r="AO161" s="1"/>
  <c r="E162"/>
  <c r="AO162" s="1"/>
  <c r="E163"/>
  <c r="AO163" s="1"/>
  <c r="E164"/>
  <c r="AO164" s="1"/>
  <c r="E165"/>
  <c r="AO165" s="1"/>
  <c r="E166"/>
  <c r="AO166" s="1"/>
  <c r="E167"/>
  <c r="AO167" s="1"/>
  <c r="E168"/>
  <c r="AO168" s="1"/>
  <c r="E169"/>
  <c r="AO169" s="1"/>
  <c r="E170"/>
  <c r="AO170" s="1"/>
  <c r="E171"/>
  <c r="AO171" s="1"/>
  <c r="E172"/>
  <c r="E173"/>
  <c r="AO173" s="1"/>
  <c r="E174"/>
  <c r="AO174" s="1"/>
  <c r="E175"/>
  <c r="AO175" s="1"/>
  <c r="E176"/>
  <c r="AO176" s="1"/>
  <c r="E177"/>
  <c r="E178"/>
  <c r="AO178" s="1"/>
  <c r="E179"/>
  <c r="AO179" s="1"/>
  <c r="E180"/>
  <c r="AO180" s="1"/>
  <c r="E181"/>
  <c r="AO181" s="1"/>
  <c r="E182"/>
  <c r="E183"/>
  <c r="AO183" s="1"/>
  <c r="E184"/>
  <c r="AO184" s="1"/>
  <c r="E185"/>
  <c r="AO185" s="1"/>
  <c r="E186"/>
  <c r="AO186" s="1"/>
  <c r="E187"/>
  <c r="AO187" s="1"/>
  <c r="E188"/>
  <c r="AO188" s="1"/>
  <c r="E189"/>
  <c r="AO189" s="1"/>
  <c r="E190"/>
  <c r="AO190" s="1"/>
  <c r="E191"/>
  <c r="AO191" s="1"/>
  <c r="E192"/>
  <c r="AO192" s="1"/>
  <c r="E193"/>
  <c r="AO193" s="1"/>
  <c r="E194"/>
  <c r="AO194" s="1"/>
  <c r="E195"/>
  <c r="AO195" s="1"/>
  <c r="E196"/>
  <c r="AO196" s="1"/>
  <c r="E197"/>
  <c r="AO197" s="1"/>
  <c r="E113"/>
  <c r="AO113" s="1"/>
  <c r="E114"/>
  <c r="AO114" s="1"/>
  <c r="E115"/>
  <c r="AO115" s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9"/>
  <c r="AO109" s="1"/>
  <c r="E110"/>
  <c r="AO110" s="1"/>
  <c r="E111"/>
  <c r="AO111" s="1"/>
  <c r="E112"/>
  <c r="AO112" s="1"/>
  <c r="E108"/>
  <c r="G108"/>
  <c r="H108" s="1"/>
  <c r="N8" i="4" l="1"/>
  <c r="N12"/>
  <c r="AC36"/>
  <c r="AC65"/>
  <c r="AC80"/>
  <c r="N91"/>
  <c r="N133"/>
  <c r="N144"/>
  <c r="Z161"/>
  <c r="AC161" s="1"/>
  <c r="AC173"/>
  <c r="AC47"/>
  <c r="Z135"/>
  <c r="Z141"/>
  <c r="AC151"/>
  <c r="Z187"/>
  <c r="Z6"/>
  <c r="R7"/>
  <c r="S7" s="1"/>
  <c r="N14"/>
  <c r="AC17"/>
  <c r="Z17"/>
  <c r="AC22"/>
  <c r="N24"/>
  <c r="AC25"/>
  <c r="N26"/>
  <c r="R26" s="1"/>
  <c r="S26" s="1"/>
  <c r="AC33"/>
  <c r="AC34"/>
  <c r="N34"/>
  <c r="K35"/>
  <c r="AC48"/>
  <c r="N50"/>
  <c r="AC51"/>
  <c r="N54"/>
  <c r="Z56"/>
  <c r="N57"/>
  <c r="N58"/>
  <c r="N59"/>
  <c r="AC97"/>
  <c r="AC107"/>
  <c r="Z108"/>
  <c r="AC126"/>
  <c r="Z131"/>
  <c r="N163"/>
  <c r="AC6"/>
  <c r="AC8"/>
  <c r="AC12"/>
  <c r="AC14"/>
  <c r="R17"/>
  <c r="S17" s="1"/>
  <c r="AC19"/>
  <c r="AC24"/>
  <c r="AC45"/>
  <c r="Z82"/>
  <c r="Z111"/>
  <c r="Z123"/>
  <c r="Z129"/>
  <c r="AC131"/>
  <c r="AC133"/>
  <c r="AC135"/>
  <c r="AC141"/>
  <c r="AC144"/>
  <c r="AC148"/>
  <c r="AC149"/>
  <c r="AC150"/>
  <c r="AC159"/>
  <c r="AC160"/>
  <c r="AC163"/>
  <c r="AC175"/>
  <c r="AC195"/>
  <c r="N195"/>
  <c r="N9"/>
  <c r="R9" s="1"/>
  <c r="S9" s="1"/>
  <c r="N13"/>
  <c r="AC15"/>
  <c r="N18"/>
  <c r="R18" s="1"/>
  <c r="S18" s="1"/>
  <c r="N20"/>
  <c r="AC28"/>
  <c r="AC30"/>
  <c r="AC32"/>
  <c r="N35"/>
  <c r="N41"/>
  <c r="AC43"/>
  <c r="N46"/>
  <c r="N47"/>
  <c r="AC55"/>
  <c r="AC56"/>
  <c r="AC59"/>
  <c r="AC61"/>
  <c r="AC64"/>
  <c r="AC67"/>
  <c r="AC69"/>
  <c r="AC71"/>
  <c r="AC73"/>
  <c r="AC74"/>
  <c r="AC77"/>
  <c r="AC78"/>
  <c r="AC81"/>
  <c r="AC82"/>
  <c r="AC89"/>
  <c r="AC92"/>
  <c r="N92"/>
  <c r="N99"/>
  <c r="R99" s="1"/>
  <c r="S99" s="1"/>
  <c r="AC104"/>
  <c r="N104"/>
  <c r="AC106"/>
  <c r="N106"/>
  <c r="AC108"/>
  <c r="AC109"/>
  <c r="N109"/>
  <c r="AC111"/>
  <c r="AC114"/>
  <c r="N115"/>
  <c r="R115" s="1"/>
  <c r="S115" s="1"/>
  <c r="AC120"/>
  <c r="AC122"/>
  <c r="AC123"/>
  <c r="AC124"/>
  <c r="N128"/>
  <c r="R128" s="1"/>
  <c r="S128" s="1"/>
  <c r="AC129"/>
  <c r="N140"/>
  <c r="AC147"/>
  <c r="N151"/>
  <c r="N154"/>
  <c r="K156"/>
  <c r="Z156"/>
  <c r="AC156" s="1"/>
  <c r="AC158"/>
  <c r="N162"/>
  <c r="N164"/>
  <c r="N165"/>
  <c r="R165" s="1"/>
  <c r="S165" s="1"/>
  <c r="N166"/>
  <c r="N167"/>
  <c r="AC170"/>
  <c r="Z182"/>
  <c r="AC182" s="1"/>
  <c r="N193"/>
  <c r="N194"/>
  <c r="AI26"/>
  <c r="AC52"/>
  <c r="AC53"/>
  <c r="AC54"/>
  <c r="AC57"/>
  <c r="AC58"/>
  <c r="AI9"/>
  <c r="AC13"/>
  <c r="AI17"/>
  <c r="AC18"/>
  <c r="AI18" s="1"/>
  <c r="AC20"/>
  <c r="AC27"/>
  <c r="AC35"/>
  <c r="AC37"/>
  <c r="AC38"/>
  <c r="AC40"/>
  <c r="AC41"/>
  <c r="AC46"/>
  <c r="AC50"/>
  <c r="AC60"/>
  <c r="AC66"/>
  <c r="N5"/>
  <c r="R5" s="1"/>
  <c r="S5" s="1"/>
  <c r="Z7"/>
  <c r="AC7" s="1"/>
  <c r="AI7" s="1"/>
  <c r="N10"/>
  <c r="R10" s="1"/>
  <c r="R11"/>
  <c r="S11" s="1"/>
  <c r="N16"/>
  <c r="R16" s="1"/>
  <c r="S16" s="1"/>
  <c r="N21"/>
  <c r="R21" s="1"/>
  <c r="S21" s="1"/>
  <c r="N23"/>
  <c r="R23" s="1"/>
  <c r="S23" s="1"/>
  <c r="N25"/>
  <c r="R25" s="1"/>
  <c r="S25" s="1"/>
  <c r="N27"/>
  <c r="R27" s="1"/>
  <c r="S27" s="1"/>
  <c r="R28"/>
  <c r="S28" s="1"/>
  <c r="N29"/>
  <c r="R29" s="1"/>
  <c r="R30"/>
  <c r="S30" s="1"/>
  <c r="R32"/>
  <c r="S32" s="1"/>
  <c r="R34"/>
  <c r="S34" s="1"/>
  <c r="R35"/>
  <c r="S35" s="1"/>
  <c r="R36"/>
  <c r="S36" s="1"/>
  <c r="R38"/>
  <c r="S38" s="1"/>
  <c r="Z39"/>
  <c r="AC39" s="1"/>
  <c r="R41"/>
  <c r="S41" s="1"/>
  <c r="R43"/>
  <c r="S43" s="1"/>
  <c r="R45"/>
  <c r="S45" s="1"/>
  <c r="R46"/>
  <c r="S46" s="1"/>
  <c r="R47"/>
  <c r="S47" s="1"/>
  <c r="Z49"/>
  <c r="AC49" s="1"/>
  <c r="R50"/>
  <c r="S50" s="1"/>
  <c r="N51"/>
  <c r="R51" s="1"/>
  <c r="R52"/>
  <c r="S52" s="1"/>
  <c r="N53"/>
  <c r="R53" s="1"/>
  <c r="S53" s="1"/>
  <c r="R56"/>
  <c r="S56" s="1"/>
  <c r="N61"/>
  <c r="R61" s="1"/>
  <c r="N62"/>
  <c r="R62" s="1"/>
  <c r="R63"/>
  <c r="S63" s="1"/>
  <c r="N64"/>
  <c r="R64" s="1"/>
  <c r="S64" s="1"/>
  <c r="N65"/>
  <c r="R65" s="1"/>
  <c r="S65" s="1"/>
  <c r="N66"/>
  <c r="R66" s="1"/>
  <c r="S66" s="1"/>
  <c r="R68"/>
  <c r="S68" s="1"/>
  <c r="N69"/>
  <c r="R69" s="1"/>
  <c r="N70"/>
  <c r="R70" s="1"/>
  <c r="AC83"/>
  <c r="AC90"/>
  <c r="AC91"/>
  <c r="AC96"/>
  <c r="AC100"/>
  <c r="AC103"/>
  <c r="AC105"/>
  <c r="AC112"/>
  <c r="AI112" s="1"/>
  <c r="AC117"/>
  <c r="AC118"/>
  <c r="R6"/>
  <c r="S6" s="1"/>
  <c r="R8"/>
  <c r="S8" s="1"/>
  <c r="R12"/>
  <c r="S12" s="1"/>
  <c r="R13"/>
  <c r="S13" s="1"/>
  <c r="R14"/>
  <c r="S14" s="1"/>
  <c r="R15"/>
  <c r="S15" s="1"/>
  <c r="R19"/>
  <c r="S19" s="1"/>
  <c r="R20"/>
  <c r="S20" s="1"/>
  <c r="R22"/>
  <c r="S22" s="1"/>
  <c r="R24"/>
  <c r="S24" s="1"/>
  <c r="R31"/>
  <c r="S31" s="1"/>
  <c r="R33"/>
  <c r="S33" s="1"/>
  <c r="R37"/>
  <c r="S37" s="1"/>
  <c r="R39"/>
  <c r="S39" s="1"/>
  <c r="N40"/>
  <c r="R40" s="1"/>
  <c r="S40" s="1"/>
  <c r="R42"/>
  <c r="S42" s="1"/>
  <c r="R44"/>
  <c r="S44" s="1"/>
  <c r="N48"/>
  <c r="R48" s="1"/>
  <c r="S48" s="1"/>
  <c r="R49"/>
  <c r="S49" s="1"/>
  <c r="R54"/>
  <c r="S54" s="1"/>
  <c r="R55"/>
  <c r="S55" s="1"/>
  <c r="R57"/>
  <c r="S57" s="1"/>
  <c r="R58"/>
  <c r="S58" s="1"/>
  <c r="R59"/>
  <c r="S59" s="1"/>
  <c r="R60"/>
  <c r="S60" s="1"/>
  <c r="R67"/>
  <c r="S67" s="1"/>
  <c r="AI99"/>
  <c r="AI115"/>
  <c r="AC128"/>
  <c r="AI128" s="1"/>
  <c r="AC136"/>
  <c r="N71"/>
  <c r="R71" s="1"/>
  <c r="N73"/>
  <c r="R73" s="1"/>
  <c r="R75"/>
  <c r="S75" s="1"/>
  <c r="R77"/>
  <c r="S77" s="1"/>
  <c r="N78"/>
  <c r="R78" s="1"/>
  <c r="Z79"/>
  <c r="AC79" s="1"/>
  <c r="N80"/>
  <c r="R80" s="1"/>
  <c r="S80" s="1"/>
  <c r="N81"/>
  <c r="R81" s="1"/>
  <c r="S81" s="1"/>
  <c r="N83"/>
  <c r="R83" s="1"/>
  <c r="S83" s="1"/>
  <c r="R84"/>
  <c r="S84" s="1"/>
  <c r="Z85"/>
  <c r="AC85" s="1"/>
  <c r="Z86"/>
  <c r="AC86" s="1"/>
  <c r="Z87"/>
  <c r="AC87" s="1"/>
  <c r="N89"/>
  <c r="R89" s="1"/>
  <c r="S89" s="1"/>
  <c r="N90"/>
  <c r="R90" s="1"/>
  <c r="S90" s="1"/>
  <c r="Z95"/>
  <c r="AC95" s="1"/>
  <c r="R97"/>
  <c r="S97" s="1"/>
  <c r="Z98"/>
  <c r="AC98" s="1"/>
  <c r="R101"/>
  <c r="S101" s="1"/>
  <c r="Z102"/>
  <c r="AC102" s="1"/>
  <c r="R103"/>
  <c r="S103" s="1"/>
  <c r="R104"/>
  <c r="S104" s="1"/>
  <c r="R105"/>
  <c r="S105" s="1"/>
  <c r="R106"/>
  <c r="S106" s="1"/>
  <c r="R107"/>
  <c r="S107" s="1"/>
  <c r="R109"/>
  <c r="S109" s="1"/>
  <c r="R111"/>
  <c r="S111" s="1"/>
  <c r="R114"/>
  <c r="S114" s="1"/>
  <c r="Z116"/>
  <c r="AC116" s="1"/>
  <c r="R117"/>
  <c r="S117" s="1"/>
  <c r="R120"/>
  <c r="S120" s="1"/>
  <c r="Z121"/>
  <c r="AC121" s="1"/>
  <c r="R123"/>
  <c r="S123" s="1"/>
  <c r="R126"/>
  <c r="S126" s="1"/>
  <c r="Z127"/>
  <c r="AC127" s="1"/>
  <c r="R129"/>
  <c r="S129" s="1"/>
  <c r="R131"/>
  <c r="S131" s="1"/>
  <c r="R133"/>
  <c r="S133" s="1"/>
  <c r="R135"/>
  <c r="S135" s="1"/>
  <c r="R136"/>
  <c r="S136" s="1"/>
  <c r="Z137"/>
  <c r="AC137" s="1"/>
  <c r="R72"/>
  <c r="S72" s="1"/>
  <c r="R74"/>
  <c r="S74" s="1"/>
  <c r="N76"/>
  <c r="R76" s="1"/>
  <c r="R79"/>
  <c r="S79" s="1"/>
  <c r="R82"/>
  <c r="S82" s="1"/>
  <c r="R85"/>
  <c r="S85" s="1"/>
  <c r="R86"/>
  <c r="S86" s="1"/>
  <c r="R87"/>
  <c r="S87" s="1"/>
  <c r="N88"/>
  <c r="R88" s="1"/>
  <c r="S88" s="1"/>
  <c r="R91"/>
  <c r="S91" s="1"/>
  <c r="R92"/>
  <c r="S92" s="1"/>
  <c r="R93"/>
  <c r="S93" s="1"/>
  <c r="N94"/>
  <c r="R94" s="1"/>
  <c r="R95"/>
  <c r="S95" s="1"/>
  <c r="R96"/>
  <c r="S96" s="1"/>
  <c r="R98"/>
  <c r="S98" s="1"/>
  <c r="R100"/>
  <c r="S100" s="1"/>
  <c r="R102"/>
  <c r="S102" s="1"/>
  <c r="R108"/>
  <c r="S108" s="1"/>
  <c r="R110"/>
  <c r="S110" s="1"/>
  <c r="R113"/>
  <c r="S113" s="1"/>
  <c r="R116"/>
  <c r="S116" s="1"/>
  <c r="N118"/>
  <c r="R118" s="1"/>
  <c r="S118" s="1"/>
  <c r="R119"/>
  <c r="S119" s="1"/>
  <c r="R121"/>
  <c r="S121" s="1"/>
  <c r="N122"/>
  <c r="R122" s="1"/>
  <c r="S122" s="1"/>
  <c r="N124"/>
  <c r="R124" s="1"/>
  <c r="S124" s="1"/>
  <c r="R125"/>
  <c r="S125" s="1"/>
  <c r="R127"/>
  <c r="S127" s="1"/>
  <c r="R130"/>
  <c r="S130" s="1"/>
  <c r="R132"/>
  <c r="S132" s="1"/>
  <c r="N134"/>
  <c r="R134" s="1"/>
  <c r="S134" s="1"/>
  <c r="R137"/>
  <c r="S137" s="1"/>
  <c r="N138"/>
  <c r="R138" s="1"/>
  <c r="AC139"/>
  <c r="AC140"/>
  <c r="AC153"/>
  <c r="AC154"/>
  <c r="AC157"/>
  <c r="AC162"/>
  <c r="AC164"/>
  <c r="AC176"/>
  <c r="AC177"/>
  <c r="AC183"/>
  <c r="AC184"/>
  <c r="AC185"/>
  <c r="AC187"/>
  <c r="AC193"/>
  <c r="AC194"/>
  <c r="AC196"/>
  <c r="R140"/>
  <c r="S140" s="1"/>
  <c r="R141"/>
  <c r="S141" s="1"/>
  <c r="N143"/>
  <c r="R143" s="1"/>
  <c r="S143" s="1"/>
  <c r="Z145"/>
  <c r="AC145" s="1"/>
  <c r="Z146"/>
  <c r="AC146" s="1"/>
  <c r="R155"/>
  <c r="S155" s="1"/>
  <c r="N157"/>
  <c r="R157" s="1"/>
  <c r="S157" s="1"/>
  <c r="N158"/>
  <c r="R158" s="1"/>
  <c r="N161"/>
  <c r="R161" s="1"/>
  <c r="R170"/>
  <c r="S170" s="1"/>
  <c r="Z171"/>
  <c r="AC171" s="1"/>
  <c r="Z172"/>
  <c r="AC172" s="1"/>
  <c r="R173"/>
  <c r="S173" s="1"/>
  <c r="R175"/>
  <c r="S175" s="1"/>
  <c r="N177"/>
  <c r="R177" s="1"/>
  <c r="S177" s="1"/>
  <c r="Z180"/>
  <c r="AC180" s="1"/>
  <c r="R182"/>
  <c r="S182" s="1"/>
  <c r="N185"/>
  <c r="R185" s="1"/>
  <c r="S185" s="1"/>
  <c r="Z186"/>
  <c r="AC186" s="1"/>
  <c r="Z188"/>
  <c r="AC188" s="1"/>
  <c r="Z189"/>
  <c r="AC189" s="1"/>
  <c r="Z190"/>
  <c r="AC190" s="1"/>
  <c r="R193"/>
  <c r="S193" s="1"/>
  <c r="R194"/>
  <c r="S194" s="1"/>
  <c r="R195"/>
  <c r="S195" s="1"/>
  <c r="Z197"/>
  <c r="AC197" s="1"/>
  <c r="N139"/>
  <c r="R139" s="1"/>
  <c r="S139" s="1"/>
  <c r="N142"/>
  <c r="R142" s="1"/>
  <c r="S142" s="1"/>
  <c r="R144"/>
  <c r="S144" s="1"/>
  <c r="R145"/>
  <c r="S145" s="1"/>
  <c r="R146"/>
  <c r="S146" s="1"/>
  <c r="R147"/>
  <c r="S147" s="1"/>
  <c r="R148"/>
  <c r="S148" s="1"/>
  <c r="R149"/>
  <c r="S149" s="1"/>
  <c r="R150"/>
  <c r="S150" s="1"/>
  <c r="R151"/>
  <c r="S151" s="1"/>
  <c r="R152"/>
  <c r="S152" s="1"/>
  <c r="R153"/>
  <c r="S153" s="1"/>
  <c r="R154"/>
  <c r="S154" s="1"/>
  <c r="R156"/>
  <c r="S156" s="1"/>
  <c r="R159"/>
  <c r="S159" s="1"/>
  <c r="R160"/>
  <c r="S160" s="1"/>
  <c r="R162"/>
  <c r="S162" s="1"/>
  <c r="R163"/>
  <c r="S163" s="1"/>
  <c r="R164"/>
  <c r="S164" s="1"/>
  <c r="R166"/>
  <c r="S166" s="1"/>
  <c r="R167"/>
  <c r="S167" s="1"/>
  <c r="N168"/>
  <c r="R168" s="1"/>
  <c r="R169"/>
  <c r="S169" s="1"/>
  <c r="R171"/>
  <c r="S171" s="1"/>
  <c r="R172"/>
  <c r="S172" s="1"/>
  <c r="N174"/>
  <c r="R174" s="1"/>
  <c r="S174" s="1"/>
  <c r="N176"/>
  <c r="R176" s="1"/>
  <c r="S176" s="1"/>
  <c r="R178"/>
  <c r="S178" s="1"/>
  <c r="R179"/>
  <c r="S179" s="1"/>
  <c r="R180"/>
  <c r="S180" s="1"/>
  <c r="N181"/>
  <c r="R181" s="1"/>
  <c r="R183"/>
  <c r="S183" s="1"/>
  <c r="R184"/>
  <c r="S184" s="1"/>
  <c r="R186"/>
  <c r="S186" s="1"/>
  <c r="R187"/>
  <c r="S187" s="1"/>
  <c r="R188"/>
  <c r="S188" s="1"/>
  <c r="R189"/>
  <c r="S189" s="1"/>
  <c r="R190"/>
  <c r="S190" s="1"/>
  <c r="N191"/>
  <c r="R191" s="1"/>
  <c r="S191" s="1"/>
  <c r="R192"/>
  <c r="S192" s="1"/>
  <c r="R196"/>
  <c r="S196" s="1"/>
  <c r="R197"/>
  <c r="S197" s="1"/>
  <c r="AY199" i="1"/>
  <c r="K9" i="5"/>
  <c r="Z9" s="1"/>
  <c r="P9" s="1"/>
  <c r="K16"/>
  <c r="Z16" s="1"/>
  <c r="P16" s="1"/>
  <c r="H17"/>
  <c r="O26"/>
  <c r="Z30"/>
  <c r="P30" s="1"/>
  <c r="Z32"/>
  <c r="P32" s="1"/>
  <c r="H35"/>
  <c r="O37"/>
  <c r="K62"/>
  <c r="Z62" s="1"/>
  <c r="P62" s="1"/>
  <c r="H64"/>
  <c r="K66"/>
  <c r="O67"/>
  <c r="K71"/>
  <c r="H89"/>
  <c r="K118"/>
  <c r="Z118" s="1"/>
  <c r="P118" s="1"/>
  <c r="O49"/>
  <c r="K57"/>
  <c r="O80"/>
  <c r="O89"/>
  <c r="O96"/>
  <c r="O97"/>
  <c r="O98"/>
  <c r="O102"/>
  <c r="O107"/>
  <c r="O158"/>
  <c r="K162"/>
  <c r="K164"/>
  <c r="K176"/>
  <c r="K177"/>
  <c r="Z177" s="1"/>
  <c r="P177" s="1"/>
  <c r="O178"/>
  <c r="W187"/>
  <c r="K188"/>
  <c r="K190"/>
  <c r="Z190" s="1"/>
  <c r="P190" s="1"/>
  <c r="Z28"/>
  <c r="P28" s="1"/>
  <c r="W56"/>
  <c r="W141"/>
  <c r="W156"/>
  <c r="W6"/>
  <c r="Z7"/>
  <c r="P7" s="1"/>
  <c r="O11"/>
  <c r="O12"/>
  <c r="W17"/>
  <c r="O17" s="1"/>
  <c r="O20"/>
  <c r="K34"/>
  <c r="Z34" s="1"/>
  <c r="P34" s="1"/>
  <c r="O35"/>
  <c r="K39"/>
  <c r="Z39" s="1"/>
  <c r="P39" s="1"/>
  <c r="K46"/>
  <c r="O47"/>
  <c r="K49"/>
  <c r="Z49" s="1"/>
  <c r="P49" s="1"/>
  <c r="O52"/>
  <c r="K59"/>
  <c r="Z59" s="1"/>
  <c r="P59" s="1"/>
  <c r="K70"/>
  <c r="Z70" s="1"/>
  <c r="P70" s="1"/>
  <c r="K73"/>
  <c r="O74"/>
  <c r="K76"/>
  <c r="O83"/>
  <c r="K83"/>
  <c r="K86"/>
  <c r="Z86" s="1"/>
  <c r="P86" s="1"/>
  <c r="K88"/>
  <c r="O92"/>
  <c r="W108"/>
  <c r="K116"/>
  <c r="Z116" s="1"/>
  <c r="P116" s="1"/>
  <c r="W131"/>
  <c r="O145"/>
  <c r="O151"/>
  <c r="K154"/>
  <c r="O155"/>
  <c r="O156"/>
  <c r="K166"/>
  <c r="Z166" s="1"/>
  <c r="P166" s="1"/>
  <c r="O181"/>
  <c r="K185"/>
  <c r="K186"/>
  <c r="Z186" s="1"/>
  <c r="P186" s="1"/>
  <c r="H197"/>
  <c r="O115"/>
  <c r="O168"/>
  <c r="W10"/>
  <c r="O14"/>
  <c r="O19"/>
  <c r="O21"/>
  <c r="O24"/>
  <c r="O25"/>
  <c r="O29"/>
  <c r="Z31"/>
  <c r="P31" s="1"/>
  <c r="O33"/>
  <c r="O36"/>
  <c r="O38"/>
  <c r="O45"/>
  <c r="K50"/>
  <c r="Z50" s="1"/>
  <c r="P50" s="1"/>
  <c r="O51"/>
  <c r="O61"/>
  <c r="K64"/>
  <c r="O65"/>
  <c r="O68"/>
  <c r="O69"/>
  <c r="O75"/>
  <c r="O79"/>
  <c r="O81"/>
  <c r="K81"/>
  <c r="Z81" s="1"/>
  <c r="P81" s="1"/>
  <c r="H83"/>
  <c r="Z83" s="1"/>
  <c r="P83" s="1"/>
  <c r="O85"/>
  <c r="O87"/>
  <c r="O90"/>
  <c r="K90"/>
  <c r="K91"/>
  <c r="K95"/>
  <c r="Z95" s="1"/>
  <c r="P95" s="1"/>
  <c r="K104"/>
  <c r="K106"/>
  <c r="W111"/>
  <c r="O118"/>
  <c r="W122"/>
  <c r="W123"/>
  <c r="W124"/>
  <c r="O141"/>
  <c r="O142"/>
  <c r="O143"/>
  <c r="O144"/>
  <c r="W152"/>
  <c r="O154"/>
  <c r="W161"/>
  <c r="O162"/>
  <c r="O164"/>
  <c r="W174"/>
  <c r="O174" s="1"/>
  <c r="O176"/>
  <c r="O177"/>
  <c r="O185"/>
  <c r="O186"/>
  <c r="O188"/>
  <c r="O190"/>
  <c r="W193"/>
  <c r="O196"/>
  <c r="O197"/>
  <c r="O5"/>
  <c r="O6"/>
  <c r="O10"/>
  <c r="O13"/>
  <c r="K13"/>
  <c r="Z13" s="1"/>
  <c r="P13" s="1"/>
  <c r="O15"/>
  <c r="Z17"/>
  <c r="P17" s="1"/>
  <c r="O34"/>
  <c r="O39"/>
  <c r="O46"/>
  <c r="O56"/>
  <c r="O57"/>
  <c r="O62"/>
  <c r="Z64"/>
  <c r="P64" s="1"/>
  <c r="O66"/>
  <c r="O70"/>
  <c r="O71"/>
  <c r="O73"/>
  <c r="O76"/>
  <c r="O77"/>
  <c r="W82"/>
  <c r="O86"/>
  <c r="O88"/>
  <c r="O105"/>
  <c r="O108"/>
  <c r="O109"/>
  <c r="O111"/>
  <c r="K115"/>
  <c r="Z115" s="1"/>
  <c r="P115" s="1"/>
  <c r="O122"/>
  <c r="O123"/>
  <c r="O124"/>
  <c r="O133"/>
  <c r="K137"/>
  <c r="Z137" s="1"/>
  <c r="P137" s="1"/>
  <c r="O140"/>
  <c r="K146"/>
  <c r="O152"/>
  <c r="O153"/>
  <c r="H156"/>
  <c r="Z156" s="1"/>
  <c r="P156" s="1"/>
  <c r="K157"/>
  <c r="O163"/>
  <c r="K168"/>
  <c r="Z168" s="1"/>
  <c r="P168" s="1"/>
  <c r="O171"/>
  <c r="W172"/>
  <c r="O172" s="1"/>
  <c r="O175"/>
  <c r="K180"/>
  <c r="Z180" s="1"/>
  <c r="P180" s="1"/>
  <c r="W182"/>
  <c r="O182" s="1"/>
  <c r="O189"/>
  <c r="O193"/>
  <c r="K195"/>
  <c r="O16"/>
  <c r="O27"/>
  <c r="K5"/>
  <c r="Z5" s="1"/>
  <c r="P5" s="1"/>
  <c r="Z6"/>
  <c r="P6" s="1"/>
  <c r="W7"/>
  <c r="O7" s="1"/>
  <c r="K8"/>
  <c r="Z8" s="1"/>
  <c r="P8" s="1"/>
  <c r="Z11"/>
  <c r="P11" s="1"/>
  <c r="K12"/>
  <c r="Z12" s="1"/>
  <c r="P12" s="1"/>
  <c r="K14"/>
  <c r="Z14" s="1"/>
  <c r="P14" s="1"/>
  <c r="K18"/>
  <c r="Z18" s="1"/>
  <c r="P18" s="1"/>
  <c r="K20"/>
  <c r="Z20" s="1"/>
  <c r="P20" s="1"/>
  <c r="K21"/>
  <c r="Z21" s="1"/>
  <c r="P21" s="1"/>
  <c r="Z22"/>
  <c r="P22" s="1"/>
  <c r="K23"/>
  <c r="Z23" s="1"/>
  <c r="P23" s="1"/>
  <c r="K24"/>
  <c r="Z24" s="1"/>
  <c r="P24" s="1"/>
  <c r="K25"/>
  <c r="Z25" s="1"/>
  <c r="P25" s="1"/>
  <c r="K26"/>
  <c r="Z26" s="1"/>
  <c r="P26" s="1"/>
  <c r="K27"/>
  <c r="Z27" s="1"/>
  <c r="P27" s="1"/>
  <c r="W28"/>
  <c r="O28" s="1"/>
  <c r="K29"/>
  <c r="Z29" s="1"/>
  <c r="P29" s="1"/>
  <c r="Q30"/>
  <c r="O30" s="1"/>
  <c r="Q31"/>
  <c r="O31" s="1"/>
  <c r="Q32"/>
  <c r="O32" s="1"/>
  <c r="O40"/>
  <c r="O41"/>
  <c r="O44"/>
  <c r="O48"/>
  <c r="O50"/>
  <c r="O53"/>
  <c r="O54"/>
  <c r="O58"/>
  <c r="O60"/>
  <c r="O64"/>
  <c r="O78"/>
  <c r="O82"/>
  <c r="O91"/>
  <c r="O93"/>
  <c r="O95"/>
  <c r="O99"/>
  <c r="O100"/>
  <c r="O104"/>
  <c r="O106"/>
  <c r="O116"/>
  <c r="O117"/>
  <c r="Z10"/>
  <c r="P10" s="1"/>
  <c r="Z15"/>
  <c r="P15" s="1"/>
  <c r="Z19"/>
  <c r="P19" s="1"/>
  <c r="Z33"/>
  <c r="P33" s="1"/>
  <c r="O55"/>
  <c r="O72"/>
  <c r="O110"/>
  <c r="Q129"/>
  <c r="K35"/>
  <c r="K40"/>
  <c r="Z40" s="1"/>
  <c r="P40" s="1"/>
  <c r="K41"/>
  <c r="Z41" s="1"/>
  <c r="P41" s="1"/>
  <c r="Z42"/>
  <c r="P42" s="1"/>
  <c r="Z43"/>
  <c r="P43" s="1"/>
  <c r="Z44"/>
  <c r="P44" s="1"/>
  <c r="K45"/>
  <c r="Z45" s="1"/>
  <c r="P45" s="1"/>
  <c r="K47"/>
  <c r="Z47" s="1"/>
  <c r="P47" s="1"/>
  <c r="K48"/>
  <c r="Z48" s="1"/>
  <c r="P48" s="1"/>
  <c r="K51"/>
  <c r="Z51" s="1"/>
  <c r="P51" s="1"/>
  <c r="K53"/>
  <c r="Z53" s="1"/>
  <c r="P53" s="1"/>
  <c r="K54"/>
  <c r="Z54" s="1"/>
  <c r="P54" s="1"/>
  <c r="K58"/>
  <c r="Z58" s="1"/>
  <c r="P58" s="1"/>
  <c r="Z60"/>
  <c r="P60" s="1"/>
  <c r="K61"/>
  <c r="Z61" s="1"/>
  <c r="P61" s="1"/>
  <c r="Z63"/>
  <c r="P63" s="1"/>
  <c r="K65"/>
  <c r="Z65" s="1"/>
  <c r="P65" s="1"/>
  <c r="K69"/>
  <c r="Z69" s="1"/>
  <c r="P69" s="1"/>
  <c r="K78"/>
  <c r="Z78" s="1"/>
  <c r="P78" s="1"/>
  <c r="K79"/>
  <c r="Z79" s="1"/>
  <c r="P79" s="1"/>
  <c r="K80"/>
  <c r="Z80" s="1"/>
  <c r="P80" s="1"/>
  <c r="Z84"/>
  <c r="P84" s="1"/>
  <c r="K85"/>
  <c r="Z85" s="1"/>
  <c r="P85" s="1"/>
  <c r="K87"/>
  <c r="Z87" s="1"/>
  <c r="P87" s="1"/>
  <c r="K89"/>
  <c r="Z89" s="1"/>
  <c r="P89" s="1"/>
  <c r="K92"/>
  <c r="Z92" s="1"/>
  <c r="P92" s="1"/>
  <c r="K94"/>
  <c r="Z94" s="1"/>
  <c r="P94" s="1"/>
  <c r="Z96"/>
  <c r="P96" s="1"/>
  <c r="Z97"/>
  <c r="P97" s="1"/>
  <c r="K98"/>
  <c r="Z98" s="1"/>
  <c r="P98" s="1"/>
  <c r="K99"/>
  <c r="Z99" s="1"/>
  <c r="P99" s="1"/>
  <c r="Z100"/>
  <c r="P100" s="1"/>
  <c r="Z101"/>
  <c r="P101" s="1"/>
  <c r="K102"/>
  <c r="Z102" s="1"/>
  <c r="P102" s="1"/>
  <c r="Z103"/>
  <c r="P103" s="1"/>
  <c r="K105"/>
  <c r="Z105" s="1"/>
  <c r="P105" s="1"/>
  <c r="Z107"/>
  <c r="P107" s="1"/>
  <c r="Z108"/>
  <c r="P108" s="1"/>
  <c r="K109"/>
  <c r="Z109" s="1"/>
  <c r="P109" s="1"/>
  <c r="Z110"/>
  <c r="P110" s="1"/>
  <c r="Z111"/>
  <c r="P111" s="1"/>
  <c r="W112"/>
  <c r="O112" s="1"/>
  <c r="Z117"/>
  <c r="P117" s="1"/>
  <c r="W121"/>
  <c r="O121" s="1"/>
  <c r="Z122"/>
  <c r="P122" s="1"/>
  <c r="Z123"/>
  <c r="P123" s="1"/>
  <c r="Z124"/>
  <c r="P124" s="1"/>
  <c r="W127"/>
  <c r="O127" s="1"/>
  <c r="W128"/>
  <c r="O128" s="1"/>
  <c r="O148"/>
  <c r="O150"/>
  <c r="O184"/>
  <c r="W129"/>
  <c r="K129"/>
  <c r="Z129" s="1"/>
  <c r="P129" s="1"/>
  <c r="Z36"/>
  <c r="P36" s="1"/>
  <c r="Z37"/>
  <c r="P37" s="1"/>
  <c r="Z38"/>
  <c r="P38" s="1"/>
  <c r="Z46"/>
  <c r="P46" s="1"/>
  <c r="Z52"/>
  <c r="P52" s="1"/>
  <c r="Z55"/>
  <c r="P55" s="1"/>
  <c r="Z56"/>
  <c r="P56" s="1"/>
  <c r="Z57"/>
  <c r="P57" s="1"/>
  <c r="Z66"/>
  <c r="P66" s="1"/>
  <c r="Z67"/>
  <c r="P67" s="1"/>
  <c r="Z68"/>
  <c r="P68" s="1"/>
  <c r="Z71"/>
  <c r="P71" s="1"/>
  <c r="Z72"/>
  <c r="P72" s="1"/>
  <c r="Z73"/>
  <c r="P73" s="1"/>
  <c r="Z74"/>
  <c r="P74" s="1"/>
  <c r="Z75"/>
  <c r="P75" s="1"/>
  <c r="Z76"/>
  <c r="P76" s="1"/>
  <c r="Z77"/>
  <c r="P77" s="1"/>
  <c r="Z82"/>
  <c r="P82" s="1"/>
  <c r="Z88"/>
  <c r="P88" s="1"/>
  <c r="Z90"/>
  <c r="P90" s="1"/>
  <c r="Z91"/>
  <c r="P91" s="1"/>
  <c r="Z93"/>
  <c r="P93" s="1"/>
  <c r="Z104"/>
  <c r="P104" s="1"/>
  <c r="Z106"/>
  <c r="P106" s="1"/>
  <c r="Z112"/>
  <c r="P112" s="1"/>
  <c r="Z113"/>
  <c r="P113" s="1"/>
  <c r="Z114"/>
  <c r="P114" s="1"/>
  <c r="Z119"/>
  <c r="P119" s="1"/>
  <c r="Z120"/>
  <c r="P120" s="1"/>
  <c r="Z121"/>
  <c r="P121" s="1"/>
  <c r="Z125"/>
  <c r="P125" s="1"/>
  <c r="Z126"/>
  <c r="P126" s="1"/>
  <c r="Z127"/>
  <c r="P127" s="1"/>
  <c r="Z128"/>
  <c r="P128" s="1"/>
  <c r="O131"/>
  <c r="O135"/>
  <c r="O136"/>
  <c r="O137"/>
  <c r="O139"/>
  <c r="O146"/>
  <c r="O157"/>
  <c r="O160"/>
  <c r="O161"/>
  <c r="O170"/>
  <c r="O180"/>
  <c r="O183"/>
  <c r="O187"/>
  <c r="O192"/>
  <c r="O195"/>
  <c r="Z130"/>
  <c r="P130" s="1"/>
  <c r="Z131"/>
  <c r="P131" s="1"/>
  <c r="Z132"/>
  <c r="P132" s="1"/>
  <c r="K133"/>
  <c r="Z133" s="1"/>
  <c r="P133" s="1"/>
  <c r="K134"/>
  <c r="Z134" s="1"/>
  <c r="P134" s="1"/>
  <c r="Z135"/>
  <c r="P135" s="1"/>
  <c r="K138"/>
  <c r="Z138" s="1"/>
  <c r="P138" s="1"/>
  <c r="K139"/>
  <c r="Z139" s="1"/>
  <c r="P139" s="1"/>
  <c r="K140"/>
  <c r="Z140" s="1"/>
  <c r="P140" s="1"/>
  <c r="K145"/>
  <c r="Z145" s="1"/>
  <c r="P145" s="1"/>
  <c r="Z147"/>
  <c r="P147" s="1"/>
  <c r="Z149"/>
  <c r="P149" s="1"/>
  <c r="K151"/>
  <c r="Z151" s="1"/>
  <c r="P151" s="1"/>
  <c r="K153"/>
  <c r="Z153" s="1"/>
  <c r="P153" s="1"/>
  <c r="K158"/>
  <c r="Z158" s="1"/>
  <c r="P158" s="1"/>
  <c r="Z159"/>
  <c r="P159" s="1"/>
  <c r="K163"/>
  <c r="Z163" s="1"/>
  <c r="P163" s="1"/>
  <c r="K165"/>
  <c r="Z165" s="1"/>
  <c r="P165" s="1"/>
  <c r="K167"/>
  <c r="Z167" s="1"/>
  <c r="P167" s="1"/>
  <c r="Z169"/>
  <c r="P169" s="1"/>
  <c r="Z170"/>
  <c r="P170" s="1"/>
  <c r="K171"/>
  <c r="Z171" s="1"/>
  <c r="P171" s="1"/>
  <c r="Z179"/>
  <c r="P179" s="1"/>
  <c r="K181"/>
  <c r="Z181" s="1"/>
  <c r="P181" s="1"/>
  <c r="Z182"/>
  <c r="P182" s="1"/>
  <c r="Z183"/>
  <c r="P183" s="1"/>
  <c r="Z187"/>
  <c r="P187" s="1"/>
  <c r="K189"/>
  <c r="Z189" s="1"/>
  <c r="P189" s="1"/>
  <c r="K191"/>
  <c r="Z191" s="1"/>
  <c r="P191" s="1"/>
  <c r="K194"/>
  <c r="Z194" s="1"/>
  <c r="P194" s="1"/>
  <c r="K197"/>
  <c r="Z197" s="1"/>
  <c r="P197" s="1"/>
  <c r="Z136"/>
  <c r="P136" s="1"/>
  <c r="Z141"/>
  <c r="P141" s="1"/>
  <c r="Z142"/>
  <c r="P142" s="1"/>
  <c r="Z143"/>
  <c r="P143" s="1"/>
  <c r="Z144"/>
  <c r="P144" s="1"/>
  <c r="Z146"/>
  <c r="P146" s="1"/>
  <c r="Z148"/>
  <c r="P148" s="1"/>
  <c r="Z150"/>
  <c r="P150" s="1"/>
  <c r="Z152"/>
  <c r="P152" s="1"/>
  <c r="Z154"/>
  <c r="P154" s="1"/>
  <c r="Z155"/>
  <c r="P155" s="1"/>
  <c r="Z157"/>
  <c r="P157" s="1"/>
  <c r="Z160"/>
  <c r="P160" s="1"/>
  <c r="Z161"/>
  <c r="P161" s="1"/>
  <c r="Z162"/>
  <c r="P162" s="1"/>
  <c r="Z164"/>
  <c r="P164" s="1"/>
  <c r="Z172"/>
  <c r="P172" s="1"/>
  <c r="Z174"/>
  <c r="P174" s="1"/>
  <c r="Z175"/>
  <c r="P175" s="1"/>
  <c r="Z176"/>
  <c r="P176" s="1"/>
  <c r="Z178"/>
  <c r="P178" s="1"/>
  <c r="Z184"/>
  <c r="P184" s="1"/>
  <c r="Z185"/>
  <c r="P185" s="1"/>
  <c r="Z188"/>
  <c r="P188" s="1"/>
  <c r="Z192"/>
  <c r="P192" s="1"/>
  <c r="Z193"/>
  <c r="P193" s="1"/>
  <c r="Z195"/>
  <c r="P195" s="1"/>
  <c r="Z196"/>
  <c r="P196" s="1"/>
  <c r="AW199" i="1"/>
  <c r="W182"/>
  <c r="W158"/>
  <c r="W138"/>
  <c r="W116"/>
  <c r="W102"/>
  <c r="W86"/>
  <c r="W82"/>
  <c r="W80"/>
  <c r="W78"/>
  <c r="Z78" s="1"/>
  <c r="W58"/>
  <c r="W34"/>
  <c r="W10"/>
  <c r="AK198"/>
  <c r="AM198"/>
  <c r="AU108"/>
  <c r="Q103"/>
  <c r="AO103"/>
  <c r="Q97"/>
  <c r="AO97"/>
  <c r="Q93"/>
  <c r="AO93"/>
  <c r="Q89"/>
  <c r="AO89"/>
  <c r="Q85"/>
  <c r="AO85"/>
  <c r="Q81"/>
  <c r="AO81"/>
  <c r="Q77"/>
  <c r="AO77"/>
  <c r="Q73"/>
  <c r="AO73"/>
  <c r="Q69"/>
  <c r="AO69"/>
  <c r="Q67"/>
  <c r="AO67"/>
  <c r="Q63"/>
  <c r="AO63"/>
  <c r="Q61"/>
  <c r="Z61" s="1"/>
  <c r="AO61"/>
  <c r="Q59"/>
  <c r="AO59"/>
  <c r="Q57"/>
  <c r="Z57" s="1"/>
  <c r="AO57"/>
  <c r="Q55"/>
  <c r="AO55"/>
  <c r="Q53"/>
  <c r="Z53" s="1"/>
  <c r="AO53"/>
  <c r="Q51"/>
  <c r="AO51"/>
  <c r="Q49"/>
  <c r="AO49"/>
  <c r="Q47"/>
  <c r="Z47" s="1"/>
  <c r="AO47"/>
  <c r="Q45"/>
  <c r="AO45"/>
  <c r="Q43"/>
  <c r="AO43"/>
  <c r="Q41"/>
  <c r="Z41" s="1"/>
  <c r="AO41"/>
  <c r="Q39"/>
  <c r="AO39"/>
  <c r="Q37"/>
  <c r="AO37"/>
  <c r="Q35"/>
  <c r="AO35"/>
  <c r="Q33"/>
  <c r="AO33"/>
  <c r="Q31"/>
  <c r="AO31"/>
  <c r="Q29"/>
  <c r="AO29"/>
  <c r="Q27"/>
  <c r="Z27" s="1"/>
  <c r="AO27"/>
  <c r="Q25"/>
  <c r="AO25"/>
  <c r="Q23"/>
  <c r="Z23" s="1"/>
  <c r="AO23"/>
  <c r="Q21"/>
  <c r="AO21"/>
  <c r="Q19"/>
  <c r="AO19"/>
  <c r="Q17"/>
  <c r="AO17"/>
  <c r="Q15"/>
  <c r="AO15"/>
  <c r="Q13"/>
  <c r="Z13" s="1"/>
  <c r="AO13"/>
  <c r="Q11"/>
  <c r="AO11"/>
  <c r="Q9"/>
  <c r="Z9" s="1"/>
  <c r="AO9"/>
  <c r="Q7"/>
  <c r="E198"/>
  <c r="Q198" s="1"/>
  <c r="AO7"/>
  <c r="Q5"/>
  <c r="AO5"/>
  <c r="Q182"/>
  <c r="AO182"/>
  <c r="Q172"/>
  <c r="AO172"/>
  <c r="AU196"/>
  <c r="AU194"/>
  <c r="AU190"/>
  <c r="AU188"/>
  <c r="AU186"/>
  <c r="AU182"/>
  <c r="AU178"/>
  <c r="AU176"/>
  <c r="AU174"/>
  <c r="AU172"/>
  <c r="AU170"/>
  <c r="AU164"/>
  <c r="AU162"/>
  <c r="AU158"/>
  <c r="AU156"/>
  <c r="AU154"/>
  <c r="AU152"/>
  <c r="AU146"/>
  <c r="AU144"/>
  <c r="AU142"/>
  <c r="AU140"/>
  <c r="AU138"/>
  <c r="AU130"/>
  <c r="AU126"/>
  <c r="AU124"/>
  <c r="AU122"/>
  <c r="AU120"/>
  <c r="AU118"/>
  <c r="AU116"/>
  <c r="AU114"/>
  <c r="AU107"/>
  <c r="AU105"/>
  <c r="AU100"/>
  <c r="AU98"/>
  <c r="AU96"/>
  <c r="AU92"/>
  <c r="AU90"/>
  <c r="AU88"/>
  <c r="AU86"/>
  <c r="AU84"/>
  <c r="AU82"/>
  <c r="AU78"/>
  <c r="AU76"/>
  <c r="AU74"/>
  <c r="AU70"/>
  <c r="AU68"/>
  <c r="AU66"/>
  <c r="AU64"/>
  <c r="AU62"/>
  <c r="AU58"/>
  <c r="AU56"/>
  <c r="AU54"/>
  <c r="AU52"/>
  <c r="AU46"/>
  <c r="AU44"/>
  <c r="AU42"/>
  <c r="AU40"/>
  <c r="AU38"/>
  <c r="AU36"/>
  <c r="AU34"/>
  <c r="AU32"/>
  <c r="AU30"/>
  <c r="AU24"/>
  <c r="AU22"/>
  <c r="AU20"/>
  <c r="AU14"/>
  <c r="AU12"/>
  <c r="AU10"/>
  <c r="AU8"/>
  <c r="AU6"/>
  <c r="AU4"/>
  <c r="Q107"/>
  <c r="AO107"/>
  <c r="Q105"/>
  <c r="AO105"/>
  <c r="Q101"/>
  <c r="AO101"/>
  <c r="Q99"/>
  <c r="Z99" s="1"/>
  <c r="AO99"/>
  <c r="Q95"/>
  <c r="Z95" s="1"/>
  <c r="AO95"/>
  <c r="Q91"/>
  <c r="Z91" s="1"/>
  <c r="AO91"/>
  <c r="Q87"/>
  <c r="Z87" s="1"/>
  <c r="AO87"/>
  <c r="Q83"/>
  <c r="Z83" s="1"/>
  <c r="AO83"/>
  <c r="Q79"/>
  <c r="Z79" s="1"/>
  <c r="AO79"/>
  <c r="Q75"/>
  <c r="AO75"/>
  <c r="Q71"/>
  <c r="Z71" s="1"/>
  <c r="AO71"/>
  <c r="Q65"/>
  <c r="AO65"/>
  <c r="Q108"/>
  <c r="AO108"/>
  <c r="Q106"/>
  <c r="AO106"/>
  <c r="Q104"/>
  <c r="Z104" s="1"/>
  <c r="AO104"/>
  <c r="Q102"/>
  <c r="AO102"/>
  <c r="Q100"/>
  <c r="AO100"/>
  <c r="Q98"/>
  <c r="AO98"/>
  <c r="Q96"/>
  <c r="AO96"/>
  <c r="Q94"/>
  <c r="Z94" s="1"/>
  <c r="AO94"/>
  <c r="Q92"/>
  <c r="AO92"/>
  <c r="Q90"/>
  <c r="AO90"/>
  <c r="Q88"/>
  <c r="AO88"/>
  <c r="Q86"/>
  <c r="Z86" s="1"/>
  <c r="AO86"/>
  <c r="Q84"/>
  <c r="AO84"/>
  <c r="Q82"/>
  <c r="AO82"/>
  <c r="Q80"/>
  <c r="Z80" s="1"/>
  <c r="AO80"/>
  <c r="Q78"/>
  <c r="AO78"/>
  <c r="Q76"/>
  <c r="Z76" s="1"/>
  <c r="AO76"/>
  <c r="Q74"/>
  <c r="AO74"/>
  <c r="Q72"/>
  <c r="AO72"/>
  <c r="Q70"/>
  <c r="AO70"/>
  <c r="Q68"/>
  <c r="AO68"/>
  <c r="Q66"/>
  <c r="AO66"/>
  <c r="Q64"/>
  <c r="Z64" s="1"/>
  <c r="AO64"/>
  <c r="Q62"/>
  <c r="AO62"/>
  <c r="Q60"/>
  <c r="AO60"/>
  <c r="Q58"/>
  <c r="AO58"/>
  <c r="Q56"/>
  <c r="AO56"/>
  <c r="Q54"/>
  <c r="AO54"/>
  <c r="Q52"/>
  <c r="AO52"/>
  <c r="Q50"/>
  <c r="AO50"/>
  <c r="Q48"/>
  <c r="Z48" s="1"/>
  <c r="AO48"/>
  <c r="Q46"/>
  <c r="AO46"/>
  <c r="Q44"/>
  <c r="AO44"/>
  <c r="Q42"/>
  <c r="AO42"/>
  <c r="Q40"/>
  <c r="Z40" s="1"/>
  <c r="AO40"/>
  <c r="Q38"/>
  <c r="AO38"/>
  <c r="Q36"/>
  <c r="AO36"/>
  <c r="Q34"/>
  <c r="AO34"/>
  <c r="Q32"/>
  <c r="AO32"/>
  <c r="Q30"/>
  <c r="AO30"/>
  <c r="Q28"/>
  <c r="AO28"/>
  <c r="Q26"/>
  <c r="AO26"/>
  <c r="Q24"/>
  <c r="Z24" s="1"/>
  <c r="AO24"/>
  <c r="Q22"/>
  <c r="AO22"/>
  <c r="Q20"/>
  <c r="Z20" s="1"/>
  <c r="AO20"/>
  <c r="Q18"/>
  <c r="AO18"/>
  <c r="Q16"/>
  <c r="Z16" s="1"/>
  <c r="AO16"/>
  <c r="Q14"/>
  <c r="AO14"/>
  <c r="Q12"/>
  <c r="Z12" s="1"/>
  <c r="AO12"/>
  <c r="Q10"/>
  <c r="AO10"/>
  <c r="Q8"/>
  <c r="Z8" s="1"/>
  <c r="AO8"/>
  <c r="Q6"/>
  <c r="AO6"/>
  <c r="Q4"/>
  <c r="AO4"/>
  <c r="Q177"/>
  <c r="Z177" s="1"/>
  <c r="AO177"/>
  <c r="AU197"/>
  <c r="AU195"/>
  <c r="AU193"/>
  <c r="AU191"/>
  <c r="AU189"/>
  <c r="AU187"/>
  <c r="AU185"/>
  <c r="AU183"/>
  <c r="AU181"/>
  <c r="AU177"/>
  <c r="AU175"/>
  <c r="AU171"/>
  <c r="AU163"/>
  <c r="AU161"/>
  <c r="AU157"/>
  <c r="AU155"/>
  <c r="AU147"/>
  <c r="AU145"/>
  <c r="AU143"/>
  <c r="AU141"/>
  <c r="AU139"/>
  <c r="AU137"/>
  <c r="AU135"/>
  <c r="H198"/>
  <c r="AU133"/>
  <c r="AU131"/>
  <c r="AU129"/>
  <c r="AU127"/>
  <c r="AU123"/>
  <c r="AU121"/>
  <c r="AU111"/>
  <c r="AU109"/>
  <c r="AU106"/>
  <c r="AU104"/>
  <c r="AU101"/>
  <c r="AU97"/>
  <c r="AU91"/>
  <c r="AU89"/>
  <c r="AU87"/>
  <c r="AU85"/>
  <c r="AU83"/>
  <c r="AU81"/>
  <c r="AU79"/>
  <c r="AU77"/>
  <c r="AU75"/>
  <c r="AU73"/>
  <c r="AU71"/>
  <c r="AU69"/>
  <c r="AU67"/>
  <c r="AU65"/>
  <c r="AU61"/>
  <c r="AU57"/>
  <c r="AU51"/>
  <c r="AU45"/>
  <c r="AU43"/>
  <c r="AU41"/>
  <c r="AU39"/>
  <c r="AU37"/>
  <c r="AU35"/>
  <c r="AU33"/>
  <c r="AU31"/>
  <c r="AU29"/>
  <c r="AU27"/>
  <c r="AU25"/>
  <c r="AU23"/>
  <c r="AU19"/>
  <c r="AU17"/>
  <c r="AU15"/>
  <c r="AU13"/>
  <c r="AU11"/>
  <c r="AU5"/>
  <c r="AS198"/>
  <c r="W194"/>
  <c r="W186"/>
  <c r="W174"/>
  <c r="W162"/>
  <c r="W154"/>
  <c r="W142"/>
  <c r="W134"/>
  <c r="W124"/>
  <c r="W112"/>
  <c r="W106"/>
  <c r="Z106" s="1"/>
  <c r="W98"/>
  <c r="W90"/>
  <c r="W70"/>
  <c r="W62"/>
  <c r="Z62" s="1"/>
  <c r="W54"/>
  <c r="W46"/>
  <c r="Z46" s="1"/>
  <c r="W26"/>
  <c r="W14"/>
  <c r="Z14" s="1"/>
  <c r="W6"/>
  <c r="W196"/>
  <c r="W172"/>
  <c r="W156"/>
  <c r="W56"/>
  <c r="Z56" s="1"/>
  <c r="W193"/>
  <c r="W187"/>
  <c r="W161"/>
  <c r="W141"/>
  <c r="W135"/>
  <c r="W131"/>
  <c r="W17"/>
  <c r="K31"/>
  <c r="K37"/>
  <c r="W37" s="1"/>
  <c r="K110"/>
  <c r="W110" s="1"/>
  <c r="K192"/>
  <c r="W192" s="1"/>
  <c r="K21"/>
  <c r="O21" s="1"/>
  <c r="P21" s="1"/>
  <c r="AV21" s="1"/>
  <c r="K119"/>
  <c r="W119" s="1"/>
  <c r="K53"/>
  <c r="O53" s="1"/>
  <c r="P53" s="1"/>
  <c r="AV53" s="1"/>
  <c r="K117"/>
  <c r="W117" s="1"/>
  <c r="K125"/>
  <c r="W125" s="1"/>
  <c r="K184"/>
  <c r="W184" s="1"/>
  <c r="K165"/>
  <c r="O165" s="1"/>
  <c r="P165" s="1"/>
  <c r="K183"/>
  <c r="W183" s="1"/>
  <c r="K151"/>
  <c r="O151" s="1"/>
  <c r="P151" s="1"/>
  <c r="K97"/>
  <c r="W97" s="1"/>
  <c r="K52"/>
  <c r="W52" s="1"/>
  <c r="K60"/>
  <c r="W60" s="1"/>
  <c r="K187"/>
  <c r="K195"/>
  <c r="O195" s="1"/>
  <c r="P195" s="1"/>
  <c r="K43"/>
  <c r="K144"/>
  <c r="O144" s="1"/>
  <c r="P144" s="1"/>
  <c r="AX144" s="1"/>
  <c r="K8"/>
  <c r="K19"/>
  <c r="W19" s="1"/>
  <c r="K130"/>
  <c r="W130" s="1"/>
  <c r="K16"/>
  <c r="K63"/>
  <c r="K122"/>
  <c r="O122" s="1"/>
  <c r="P122" s="1"/>
  <c r="K95"/>
  <c r="O95" s="1"/>
  <c r="P95" s="1"/>
  <c r="K77"/>
  <c r="W77" s="1"/>
  <c r="K32"/>
  <c r="W32" s="1"/>
  <c r="K126"/>
  <c r="W126" s="1"/>
  <c r="K96"/>
  <c r="K135"/>
  <c r="O135" s="1"/>
  <c r="P135" s="1"/>
  <c r="K23"/>
  <c r="O23" s="1"/>
  <c r="P23" s="1"/>
  <c r="AV23" s="1"/>
  <c r="K33"/>
  <c r="W33" s="1"/>
  <c r="K185"/>
  <c r="O185" s="1"/>
  <c r="P185" s="1"/>
  <c r="K193"/>
  <c r="K152"/>
  <c r="O152" s="1"/>
  <c r="P152" s="1"/>
  <c r="K176"/>
  <c r="K129"/>
  <c r="O129" s="1"/>
  <c r="P129" s="1"/>
  <c r="K99"/>
  <c r="K5"/>
  <c r="O5" s="1"/>
  <c r="P5" s="1"/>
  <c r="K156"/>
  <c r="O156" s="1"/>
  <c r="P156" s="1"/>
  <c r="AX156" s="1"/>
  <c r="K57"/>
  <c r="O57" s="1"/>
  <c r="P57" s="1"/>
  <c r="K100"/>
  <c r="W100" s="1"/>
  <c r="K73"/>
  <c r="O73" s="1"/>
  <c r="P73" s="1"/>
  <c r="K141"/>
  <c r="O141" s="1"/>
  <c r="P141" s="1"/>
  <c r="K121"/>
  <c r="K118"/>
  <c r="O118" s="1"/>
  <c r="P118" s="1"/>
  <c r="K140"/>
  <c r="O140" s="1"/>
  <c r="P140" s="1"/>
  <c r="K41"/>
  <c r="O41" s="1"/>
  <c r="P41" s="1"/>
  <c r="K145"/>
  <c r="O145" s="1"/>
  <c r="P145" s="1"/>
  <c r="K169"/>
  <c r="W169" s="1"/>
  <c r="K29"/>
  <c r="O29" s="1"/>
  <c r="P29" s="1"/>
  <c r="K137"/>
  <c r="K88"/>
  <c r="O88" s="1"/>
  <c r="P88" s="1"/>
  <c r="K55"/>
  <c r="W55" s="1"/>
  <c r="K157"/>
  <c r="O157" s="1"/>
  <c r="P157" s="1"/>
  <c r="K39"/>
  <c r="K161"/>
  <c r="O161" s="1"/>
  <c r="P161" s="1"/>
  <c r="K71"/>
  <c r="O71" s="1"/>
  <c r="P71" s="1"/>
  <c r="AX71" s="1"/>
  <c r="K143"/>
  <c r="O143" s="1"/>
  <c r="P143" s="1"/>
  <c r="K115"/>
  <c r="O115" s="1"/>
  <c r="P115" s="1"/>
  <c r="K89"/>
  <c r="K163"/>
  <c r="O163" s="1"/>
  <c r="P163" s="1"/>
  <c r="K69"/>
  <c r="O69" s="1"/>
  <c r="P69" s="1"/>
  <c r="K85"/>
  <c r="K127"/>
  <c r="O127" s="1"/>
  <c r="P127" s="1"/>
  <c r="K172"/>
  <c r="O172" s="1"/>
  <c r="P172" s="1"/>
  <c r="K12"/>
  <c r="O12" s="1"/>
  <c r="P12" s="1"/>
  <c r="AX12" s="1"/>
  <c r="K171"/>
  <c r="O171" s="1"/>
  <c r="P171" s="1"/>
  <c r="AX171" s="1"/>
  <c r="K160"/>
  <c r="K28"/>
  <c r="W28" s="1"/>
  <c r="K159"/>
  <c r="K179"/>
  <c r="W179" s="1"/>
  <c r="K148"/>
  <c r="K72"/>
  <c r="W72" s="1"/>
  <c r="K15"/>
  <c r="K93"/>
  <c r="W93" s="1"/>
  <c r="Z93" s="1"/>
  <c r="K136"/>
  <c r="K113"/>
  <c r="W113" s="1"/>
  <c r="K7"/>
  <c r="K149"/>
  <c r="W149" s="1"/>
  <c r="K167"/>
  <c r="O167" s="1"/>
  <c r="P167" s="1"/>
  <c r="K103"/>
  <c r="W103" s="1"/>
  <c r="K191"/>
  <c r="O191" s="1"/>
  <c r="P191" s="1"/>
  <c r="K59"/>
  <c r="K75"/>
  <c r="K44"/>
  <c r="W44" s="1"/>
  <c r="K173"/>
  <c r="O173" s="1"/>
  <c r="P173" s="1"/>
  <c r="AV173" s="1"/>
  <c r="K168"/>
  <c r="O168" s="1"/>
  <c r="P168" s="1"/>
  <c r="AV168" s="1"/>
  <c r="K175"/>
  <c r="K197"/>
  <c r="K181"/>
  <c r="O181" s="1"/>
  <c r="P181" s="1"/>
  <c r="K40"/>
  <c r="K147"/>
  <c r="K91"/>
  <c r="O91" s="1"/>
  <c r="P91" s="1"/>
  <c r="AX91" s="1"/>
  <c r="K9"/>
  <c r="O9" s="1"/>
  <c r="P9" s="1"/>
  <c r="AV9" s="1"/>
  <c r="K67"/>
  <c r="W67" s="1"/>
  <c r="K131"/>
  <c r="O131" s="1"/>
  <c r="P131" s="1"/>
  <c r="K48"/>
  <c r="O48" s="1"/>
  <c r="P48" s="1"/>
  <c r="K114"/>
  <c r="W114" s="1"/>
  <c r="K107"/>
  <c r="W107" s="1"/>
  <c r="K84"/>
  <c r="K11"/>
  <c r="W11" s="1"/>
  <c r="Z11" s="1"/>
  <c r="K155"/>
  <c r="K68"/>
  <c r="W68" s="1"/>
  <c r="K92"/>
  <c r="O92" s="1"/>
  <c r="P92" s="1"/>
  <c r="K123"/>
  <c r="O123" s="1"/>
  <c r="P123" s="1"/>
  <c r="AX123" s="1"/>
  <c r="K101"/>
  <c r="W101" s="1"/>
  <c r="K25"/>
  <c r="O25" s="1"/>
  <c r="P25" s="1"/>
  <c r="AX25" s="1"/>
  <c r="K196"/>
  <c r="K56"/>
  <c r="K17"/>
  <c r="O17" s="1"/>
  <c r="P17" s="1"/>
  <c r="K24"/>
  <c r="K111"/>
  <c r="O111" s="1"/>
  <c r="P111" s="1"/>
  <c r="AX111" s="1"/>
  <c r="K76"/>
  <c r="K109"/>
  <c r="O109" s="1"/>
  <c r="P109" s="1"/>
  <c r="K153"/>
  <c r="K139"/>
  <c r="O139" s="1"/>
  <c r="P139" s="1"/>
  <c r="K177"/>
  <c r="O177" s="1"/>
  <c r="P177" s="1"/>
  <c r="K164"/>
  <c r="O164" s="1"/>
  <c r="P164" s="1"/>
  <c r="K47"/>
  <c r="O47" s="1"/>
  <c r="P47" s="1"/>
  <c r="K27"/>
  <c r="O27" s="1"/>
  <c r="P27" s="1"/>
  <c r="K180"/>
  <c r="K104"/>
  <c r="O104" s="1"/>
  <c r="P104" s="1"/>
  <c r="K49"/>
  <c r="K61"/>
  <c r="O61" s="1"/>
  <c r="P61" s="1"/>
  <c r="K65"/>
  <c r="O65" s="1"/>
  <c r="P65" s="1"/>
  <c r="K87"/>
  <c r="O87" s="1"/>
  <c r="P87" s="1"/>
  <c r="AX87" s="1"/>
  <c r="K36"/>
  <c r="W36" s="1"/>
  <c r="K45"/>
  <c r="O45" s="1"/>
  <c r="P45" s="1"/>
  <c r="K20"/>
  <c r="O20" s="1"/>
  <c r="P20" s="1"/>
  <c r="K188"/>
  <c r="O188" s="1"/>
  <c r="P188" s="1"/>
  <c r="K189"/>
  <c r="O189" s="1"/>
  <c r="P189" s="1"/>
  <c r="K13"/>
  <c r="O13" s="1"/>
  <c r="P13" s="1"/>
  <c r="K105"/>
  <c r="K35"/>
  <c r="O35" s="1"/>
  <c r="P35" s="1"/>
  <c r="K64"/>
  <c r="K51"/>
  <c r="O51" s="1"/>
  <c r="P51" s="1"/>
  <c r="Z81"/>
  <c r="O196"/>
  <c r="P196" s="1"/>
  <c r="O192"/>
  <c r="P192" s="1"/>
  <c r="O190"/>
  <c r="P190" s="1"/>
  <c r="O186"/>
  <c r="P186" s="1"/>
  <c r="O180"/>
  <c r="P180" s="1"/>
  <c r="AV180" s="1"/>
  <c r="O178"/>
  <c r="P178" s="1"/>
  <c r="AV178" s="1"/>
  <c r="O176"/>
  <c r="P176" s="1"/>
  <c r="O174"/>
  <c r="P174" s="1"/>
  <c r="O170"/>
  <c r="P170" s="1"/>
  <c r="O166"/>
  <c r="P166" s="1"/>
  <c r="O162"/>
  <c r="P162" s="1"/>
  <c r="O158"/>
  <c r="P158" s="1"/>
  <c r="O154"/>
  <c r="P154" s="1"/>
  <c r="AX154" s="1"/>
  <c r="O150"/>
  <c r="P150" s="1"/>
  <c r="AV150" s="1"/>
  <c r="O146"/>
  <c r="P146" s="1"/>
  <c r="O142"/>
  <c r="P142" s="1"/>
  <c r="O138"/>
  <c r="P138" s="1"/>
  <c r="K133"/>
  <c r="O133" s="1"/>
  <c r="P133" s="1"/>
  <c r="AX133" s="1"/>
  <c r="O194"/>
  <c r="P194" s="1"/>
  <c r="Z105"/>
  <c r="Z101"/>
  <c r="Z97"/>
  <c r="Z89"/>
  <c r="Z85"/>
  <c r="Z73"/>
  <c r="Z69"/>
  <c r="Z65"/>
  <c r="Z59"/>
  <c r="Z55"/>
  <c r="Z102"/>
  <c r="Z98"/>
  <c r="Z92"/>
  <c r="Z88"/>
  <c r="Z82"/>
  <c r="Z74"/>
  <c r="Z70"/>
  <c r="Z66"/>
  <c r="Z58"/>
  <c r="Z52"/>
  <c r="O197"/>
  <c r="P197" s="1"/>
  <c r="O193"/>
  <c r="P193" s="1"/>
  <c r="O187"/>
  <c r="P187" s="1"/>
  <c r="O179"/>
  <c r="P179" s="1"/>
  <c r="AV179" s="1"/>
  <c r="O169"/>
  <c r="P169" s="1"/>
  <c r="AV169" s="1"/>
  <c r="O153"/>
  <c r="P153" s="1"/>
  <c r="O137"/>
  <c r="P137" s="1"/>
  <c r="O125"/>
  <c r="P125" s="1"/>
  <c r="O121"/>
  <c r="P121" s="1"/>
  <c r="Z51"/>
  <c r="O107"/>
  <c r="P107" s="1"/>
  <c r="O106"/>
  <c r="P106" s="1"/>
  <c r="AX106" s="1"/>
  <c r="O103"/>
  <c r="P103" s="1"/>
  <c r="O102"/>
  <c r="P102" s="1"/>
  <c r="AV102" s="1"/>
  <c r="O99"/>
  <c r="P99" s="1"/>
  <c r="AV99" s="1"/>
  <c r="O98"/>
  <c r="P98" s="1"/>
  <c r="AX98" s="1"/>
  <c r="O94"/>
  <c r="P94" s="1"/>
  <c r="AX94" s="1"/>
  <c r="O90"/>
  <c r="P90" s="1"/>
  <c r="O86"/>
  <c r="P86" s="1"/>
  <c r="O83"/>
  <c r="P83" s="1"/>
  <c r="O82"/>
  <c r="P82" s="1"/>
  <c r="O79"/>
  <c r="P79" s="1"/>
  <c r="O78"/>
  <c r="P78" s="1"/>
  <c r="O74"/>
  <c r="P74" s="1"/>
  <c r="O70"/>
  <c r="P70" s="1"/>
  <c r="O66"/>
  <c r="P66" s="1"/>
  <c r="O62"/>
  <c r="P62" s="1"/>
  <c r="O59"/>
  <c r="P59" s="1"/>
  <c r="O58"/>
  <c r="P58" s="1"/>
  <c r="O55"/>
  <c r="P55" s="1"/>
  <c r="O54"/>
  <c r="P54" s="1"/>
  <c r="O50"/>
  <c r="P50" s="1"/>
  <c r="O46"/>
  <c r="P46" s="1"/>
  <c r="O42"/>
  <c r="P42" s="1"/>
  <c r="AV42" s="1"/>
  <c r="O39"/>
  <c r="P39" s="1"/>
  <c r="O38"/>
  <c r="P38" s="1"/>
  <c r="AV38" s="1"/>
  <c r="O34"/>
  <c r="P34" s="1"/>
  <c r="O30"/>
  <c r="P30" s="1"/>
  <c r="O26"/>
  <c r="P26" s="1"/>
  <c r="O22"/>
  <c r="P22" s="1"/>
  <c r="O19"/>
  <c r="P19" s="1"/>
  <c r="O18"/>
  <c r="P18" s="1"/>
  <c r="O14"/>
  <c r="P14" s="1"/>
  <c r="O10"/>
  <c r="P10" s="1"/>
  <c r="O6"/>
  <c r="P6" s="1"/>
  <c r="Z50"/>
  <c r="Z42"/>
  <c r="Z38"/>
  <c r="Z34"/>
  <c r="Z30"/>
  <c r="Z26"/>
  <c r="Z22"/>
  <c r="Z18"/>
  <c r="Z10"/>
  <c r="Z6"/>
  <c r="O105"/>
  <c r="P105" s="1"/>
  <c r="AX105" s="1"/>
  <c r="O101"/>
  <c r="P101" s="1"/>
  <c r="O100"/>
  <c r="P100" s="1"/>
  <c r="O93"/>
  <c r="P93" s="1"/>
  <c r="O89"/>
  <c r="P89" s="1"/>
  <c r="O85"/>
  <c r="P85" s="1"/>
  <c r="AX85" s="1"/>
  <c r="O81"/>
  <c r="P81" s="1"/>
  <c r="O80"/>
  <c r="P80" s="1"/>
  <c r="AX80" s="1"/>
  <c r="O76"/>
  <c r="P76" s="1"/>
  <c r="AX76" s="1"/>
  <c r="O68"/>
  <c r="P68" s="1"/>
  <c r="O64"/>
  <c r="P64" s="1"/>
  <c r="AX64" s="1"/>
  <c r="O56"/>
  <c r="P56" s="1"/>
  <c r="O52"/>
  <c r="P52" s="1"/>
  <c r="AV52" s="1"/>
  <c r="O49"/>
  <c r="P49" s="1"/>
  <c r="AX49" s="1"/>
  <c r="O44"/>
  <c r="P44" s="1"/>
  <c r="AV44" s="1"/>
  <c r="O40"/>
  <c r="P40" s="1"/>
  <c r="O36"/>
  <c r="P36" s="1"/>
  <c r="AV36" s="1"/>
  <c r="O28"/>
  <c r="P28" s="1"/>
  <c r="O24"/>
  <c r="P24" s="1"/>
  <c r="O16"/>
  <c r="P16" s="1"/>
  <c r="O8"/>
  <c r="P8" s="1"/>
  <c r="AV8" s="1"/>
  <c r="P4"/>
  <c r="Z49"/>
  <c r="Z45"/>
  <c r="Z39"/>
  <c r="Z35"/>
  <c r="Z29"/>
  <c r="Z25"/>
  <c r="Z21"/>
  <c r="Z17"/>
  <c r="Z5"/>
  <c r="O112"/>
  <c r="P112" s="1"/>
  <c r="AX112" s="1"/>
  <c r="Q112"/>
  <c r="Z112" s="1"/>
  <c r="Q110"/>
  <c r="Z110" s="1"/>
  <c r="Q111"/>
  <c r="Z111" s="1"/>
  <c r="Q115"/>
  <c r="Z115" s="1"/>
  <c r="Q113"/>
  <c r="Z113" s="1"/>
  <c r="Q117"/>
  <c r="Z117" s="1"/>
  <c r="W108"/>
  <c r="Q197"/>
  <c r="Z197" s="1"/>
  <c r="Q194"/>
  <c r="Q192"/>
  <c r="Z192" s="1"/>
  <c r="Q189"/>
  <c r="Z189" s="1"/>
  <c r="Q187"/>
  <c r="Q185"/>
  <c r="Z185" s="1"/>
  <c r="Q183"/>
  <c r="Z183" s="1"/>
  <c r="Q181"/>
  <c r="Z181" s="1"/>
  <c r="Q179"/>
  <c r="Z179" s="1"/>
  <c r="Q175"/>
  <c r="Q173"/>
  <c r="Z173" s="1"/>
  <c r="Q171"/>
  <c r="Z171" s="1"/>
  <c r="Q169"/>
  <c r="Z169" s="1"/>
  <c r="Q167"/>
  <c r="Z167" s="1"/>
  <c r="Q165"/>
  <c r="Z165" s="1"/>
  <c r="Q163"/>
  <c r="Z163" s="1"/>
  <c r="Q161"/>
  <c r="Z161" s="1"/>
  <c r="Q159"/>
  <c r="Q157"/>
  <c r="Z157" s="1"/>
  <c r="Q155"/>
  <c r="Q152"/>
  <c r="Z152" s="1"/>
  <c r="Q150"/>
  <c r="Z150" s="1"/>
  <c r="Q148"/>
  <c r="Q146"/>
  <c r="Z146" s="1"/>
  <c r="Q144"/>
  <c r="Z144" s="1"/>
  <c r="Q142"/>
  <c r="Q140"/>
  <c r="Z140" s="1"/>
  <c r="Q138"/>
  <c r="Q136"/>
  <c r="Q133"/>
  <c r="Z133" s="1"/>
  <c r="Q129"/>
  <c r="Z129" s="1"/>
  <c r="Q125"/>
  <c r="Q121"/>
  <c r="Z121" s="1"/>
  <c r="Q114"/>
  <c r="Z114" s="1"/>
  <c r="O134"/>
  <c r="P134" s="1"/>
  <c r="Q134"/>
  <c r="Z134" s="1"/>
  <c r="O132"/>
  <c r="P132" s="1"/>
  <c r="Q132"/>
  <c r="Z132" s="1"/>
  <c r="Q130"/>
  <c r="Z130" s="1"/>
  <c r="O128"/>
  <c r="P128" s="1"/>
  <c r="AX128" s="1"/>
  <c r="Q128"/>
  <c r="Z128" s="1"/>
  <c r="Q126"/>
  <c r="Z126" s="1"/>
  <c r="O124"/>
  <c r="P124" s="1"/>
  <c r="Q124"/>
  <c r="Z124" s="1"/>
  <c r="Q122"/>
  <c r="Z122" s="1"/>
  <c r="O120"/>
  <c r="P120" s="1"/>
  <c r="Q120"/>
  <c r="Z120" s="1"/>
  <c r="Q118"/>
  <c r="Z118" s="1"/>
  <c r="O116"/>
  <c r="P116" s="1"/>
  <c r="Q116"/>
  <c r="Z116" s="1"/>
  <c r="Q109"/>
  <c r="Z109" s="1"/>
  <c r="Q196"/>
  <c r="Z196" s="1"/>
  <c r="Q195"/>
  <c r="Z195" s="1"/>
  <c r="Q193"/>
  <c r="Z193" s="1"/>
  <c r="Q191"/>
  <c r="Z191" s="1"/>
  <c r="Q190"/>
  <c r="Z190" s="1"/>
  <c r="Q188"/>
  <c r="Z188" s="1"/>
  <c r="Q186"/>
  <c r="Z186" s="1"/>
  <c r="Q184"/>
  <c r="Q180"/>
  <c r="Z180" s="1"/>
  <c r="Q178"/>
  <c r="Z178" s="1"/>
  <c r="Q176"/>
  <c r="Z176" s="1"/>
  <c r="Q174"/>
  <c r="Q170"/>
  <c r="Z170" s="1"/>
  <c r="Q168"/>
  <c r="Z168" s="1"/>
  <c r="Q166"/>
  <c r="Z166" s="1"/>
  <c r="Q164"/>
  <c r="Z164" s="1"/>
  <c r="Q162"/>
  <c r="Z162" s="1"/>
  <c r="Q160"/>
  <c r="Q158"/>
  <c r="Z158" s="1"/>
  <c r="Q156"/>
  <c r="Q154"/>
  <c r="Z154" s="1"/>
  <c r="Q153"/>
  <c r="Z153" s="1"/>
  <c r="Q151"/>
  <c r="Z151" s="1"/>
  <c r="Q149"/>
  <c r="Q147"/>
  <c r="Q145"/>
  <c r="Z145" s="1"/>
  <c r="Q143"/>
  <c r="Z143" s="1"/>
  <c r="Q141"/>
  <c r="Q139"/>
  <c r="Z139" s="1"/>
  <c r="Q137"/>
  <c r="Z137" s="1"/>
  <c r="Q135"/>
  <c r="Z135" s="1"/>
  <c r="Q131"/>
  <c r="Q127"/>
  <c r="Z127" s="1"/>
  <c r="Q123"/>
  <c r="Z123" s="1"/>
  <c r="Q119"/>
  <c r="Z119" s="1"/>
  <c r="O182"/>
  <c r="P182" s="1"/>
  <c r="Z182"/>
  <c r="O108"/>
  <c r="P108" s="1"/>
  <c r="AX108" s="1"/>
  <c r="AI197" i="4" l="1"/>
  <c r="AI190"/>
  <c r="AI188"/>
  <c r="AI172"/>
  <c r="AI145"/>
  <c r="AI137"/>
  <c r="AI127"/>
  <c r="AI116"/>
  <c r="AI87"/>
  <c r="AI85"/>
  <c r="AI79"/>
  <c r="AI49"/>
  <c r="AI39"/>
  <c r="AI165"/>
  <c r="AI171"/>
  <c r="AI146"/>
  <c r="AI193"/>
  <c r="AI173"/>
  <c r="AI121"/>
  <c r="AI102"/>
  <c r="AI98"/>
  <c r="AI95"/>
  <c r="AI86"/>
  <c r="S168"/>
  <c r="AI168"/>
  <c r="S158"/>
  <c r="AI158"/>
  <c r="S94"/>
  <c r="AI94"/>
  <c r="S73"/>
  <c r="AI73"/>
  <c r="S70"/>
  <c r="AI70"/>
  <c r="S62"/>
  <c r="AI62"/>
  <c r="S51"/>
  <c r="AI51"/>
  <c r="S10"/>
  <c r="AI10"/>
  <c r="S181"/>
  <c r="AI181"/>
  <c r="S161"/>
  <c r="AI161"/>
  <c r="S138"/>
  <c r="AI138"/>
  <c r="S76"/>
  <c r="AI76"/>
  <c r="S78"/>
  <c r="AI78"/>
  <c r="S71"/>
  <c r="AI71"/>
  <c r="S69"/>
  <c r="AI69"/>
  <c r="S61"/>
  <c r="AI61"/>
  <c r="S29"/>
  <c r="AI29"/>
  <c r="AI194"/>
  <c r="AI191"/>
  <c r="AI187"/>
  <c r="AI185"/>
  <c r="AI183"/>
  <c r="AI178"/>
  <c r="AI176"/>
  <c r="AI164"/>
  <c r="AI154"/>
  <c r="AI147"/>
  <c r="AI140"/>
  <c r="AI192"/>
  <c r="AI175"/>
  <c r="AI166"/>
  <c r="AI159"/>
  <c r="AI155"/>
  <c r="AI151"/>
  <c r="AI149"/>
  <c r="AI143"/>
  <c r="AI141"/>
  <c r="AI134"/>
  <c r="AI130"/>
  <c r="AI125"/>
  <c r="AI123"/>
  <c r="AI120"/>
  <c r="AI114"/>
  <c r="AI109"/>
  <c r="AI106"/>
  <c r="AI93"/>
  <c r="AI89"/>
  <c r="AI82"/>
  <c r="AI77"/>
  <c r="AI74"/>
  <c r="AI135"/>
  <c r="AI131"/>
  <c r="AI118"/>
  <c r="AI107"/>
  <c r="AI103"/>
  <c r="AI100"/>
  <c r="AI96"/>
  <c r="AI91"/>
  <c r="AI88"/>
  <c r="AI83"/>
  <c r="AI67"/>
  <c r="AI64"/>
  <c r="AI60"/>
  <c r="AI56"/>
  <c r="AI50"/>
  <c r="AI43"/>
  <c r="AI40"/>
  <c r="AI37"/>
  <c r="AI32"/>
  <c r="AI28"/>
  <c r="AI23"/>
  <c r="AI15"/>
  <c r="AI65"/>
  <c r="AI57"/>
  <c r="AI53"/>
  <c r="AI48"/>
  <c r="AI45"/>
  <c r="AI42"/>
  <c r="AI36"/>
  <c r="AI33"/>
  <c r="AI25"/>
  <c r="AI22"/>
  <c r="AI19"/>
  <c r="AI14"/>
  <c r="AI11"/>
  <c r="AI8"/>
  <c r="AI5"/>
  <c r="AI196"/>
  <c r="AI189"/>
  <c r="AI186"/>
  <c r="AI184"/>
  <c r="AI180"/>
  <c r="AI177"/>
  <c r="AI170"/>
  <c r="AI162"/>
  <c r="AI157"/>
  <c r="AI153"/>
  <c r="AI139"/>
  <c r="AI195"/>
  <c r="AI182"/>
  <c r="AI179"/>
  <c r="AI174"/>
  <c r="AI169"/>
  <c r="AI167"/>
  <c r="AI163"/>
  <c r="AI160"/>
  <c r="AI156"/>
  <c r="AI152"/>
  <c r="AI150"/>
  <c r="AI148"/>
  <c r="AI144"/>
  <c r="AI142"/>
  <c r="AI136"/>
  <c r="AI132"/>
  <c r="AI129"/>
  <c r="AI124"/>
  <c r="AI122"/>
  <c r="AI111"/>
  <c r="AI108"/>
  <c r="AI104"/>
  <c r="AI92"/>
  <c r="AI81"/>
  <c r="AI75"/>
  <c r="AI133"/>
  <c r="AI126"/>
  <c r="AI119"/>
  <c r="AI117"/>
  <c r="AI113"/>
  <c r="AI110"/>
  <c r="AI105"/>
  <c r="AI101"/>
  <c r="AI97"/>
  <c r="AI90"/>
  <c r="AI84"/>
  <c r="AI80"/>
  <c r="AI72"/>
  <c r="AI66"/>
  <c r="AI59"/>
  <c r="AI55"/>
  <c r="AI46"/>
  <c r="AI41"/>
  <c r="AI38"/>
  <c r="AI35"/>
  <c r="AI30"/>
  <c r="AI27"/>
  <c r="AI20"/>
  <c r="AI13"/>
  <c r="AI68"/>
  <c r="AI63"/>
  <c r="AI58"/>
  <c r="AI54"/>
  <c r="AI52"/>
  <c r="AI47"/>
  <c r="AI44"/>
  <c r="AI34"/>
  <c r="AI31"/>
  <c r="AI24"/>
  <c r="AI21"/>
  <c r="AI16"/>
  <c r="AI12"/>
  <c r="AI6"/>
  <c r="Z149" i="1"/>
  <c r="Z156"/>
  <c r="Z184"/>
  <c r="O126"/>
  <c r="P126" s="1"/>
  <c r="Z138"/>
  <c r="Z142"/>
  <c r="O117"/>
  <c r="P117" s="1"/>
  <c r="AV117" s="1"/>
  <c r="O113"/>
  <c r="P113" s="1"/>
  <c r="O33"/>
  <c r="P33" s="1"/>
  <c r="O37"/>
  <c r="P37" s="1"/>
  <c r="AX37" s="1"/>
  <c r="O60"/>
  <c r="P60" s="1"/>
  <c r="AV60" s="1"/>
  <c r="O72"/>
  <c r="P72" s="1"/>
  <c r="AV72" s="1"/>
  <c r="O77"/>
  <c r="P77" s="1"/>
  <c r="O97"/>
  <c r="P97" s="1"/>
  <c r="O11"/>
  <c r="P11" s="1"/>
  <c r="AX11" s="1"/>
  <c r="O67"/>
  <c r="P67" s="1"/>
  <c r="O119"/>
  <c r="P119" s="1"/>
  <c r="O149"/>
  <c r="P149" s="1"/>
  <c r="O183"/>
  <c r="P183" s="1"/>
  <c r="O184"/>
  <c r="P184" s="1"/>
  <c r="Z172"/>
  <c r="Z35" i="5"/>
  <c r="P35" s="1"/>
  <c r="O129"/>
  <c r="AV177" i="1"/>
  <c r="AX177"/>
  <c r="AV118"/>
  <c r="AX118"/>
  <c r="AV122"/>
  <c r="AX122"/>
  <c r="AV126"/>
  <c r="AX126"/>
  <c r="AV115"/>
  <c r="AX115"/>
  <c r="AV20"/>
  <c r="AX20"/>
  <c r="AV33"/>
  <c r="AX33"/>
  <c r="AV41"/>
  <c r="AX41"/>
  <c r="AV65"/>
  <c r="AX65"/>
  <c r="AV77"/>
  <c r="AX77"/>
  <c r="AV81"/>
  <c r="AX81"/>
  <c r="AV89"/>
  <c r="AX89"/>
  <c r="AV97"/>
  <c r="AX97"/>
  <c r="AV101"/>
  <c r="AX101"/>
  <c r="AV6"/>
  <c r="AX6"/>
  <c r="AV22"/>
  <c r="AX22"/>
  <c r="AV30"/>
  <c r="AX30"/>
  <c r="AV47"/>
  <c r="AX47"/>
  <c r="AV54"/>
  <c r="AX54"/>
  <c r="AV58"/>
  <c r="AX58"/>
  <c r="AV62"/>
  <c r="AX62"/>
  <c r="AT67"/>
  <c r="AX67"/>
  <c r="AV78"/>
  <c r="AX78"/>
  <c r="AV82"/>
  <c r="AX82"/>
  <c r="AV86"/>
  <c r="AX86"/>
  <c r="AV141"/>
  <c r="AX141"/>
  <c r="AV135"/>
  <c r="AX135"/>
  <c r="AV163"/>
  <c r="AX163"/>
  <c r="AV183"/>
  <c r="AX183"/>
  <c r="AV189"/>
  <c r="AX189"/>
  <c r="AV195"/>
  <c r="AX195"/>
  <c r="AV194"/>
  <c r="AX194"/>
  <c r="AV138"/>
  <c r="AX138"/>
  <c r="AV162"/>
  <c r="AX162"/>
  <c r="AV174"/>
  <c r="AX174"/>
  <c r="AV190"/>
  <c r="AX190"/>
  <c r="AV196"/>
  <c r="AX196"/>
  <c r="AV51"/>
  <c r="AX51"/>
  <c r="AV35"/>
  <c r="AX35"/>
  <c r="AV13"/>
  <c r="AX13"/>
  <c r="AV188"/>
  <c r="AX188"/>
  <c r="AV45"/>
  <c r="AX45"/>
  <c r="AV61"/>
  <c r="AX61"/>
  <c r="AV104"/>
  <c r="AX104"/>
  <c r="AV27"/>
  <c r="AX27"/>
  <c r="AV164"/>
  <c r="AX164"/>
  <c r="AV139"/>
  <c r="AX139"/>
  <c r="AV109"/>
  <c r="AX109"/>
  <c r="AV17"/>
  <c r="AX17"/>
  <c r="AV92"/>
  <c r="AX92"/>
  <c r="AV131"/>
  <c r="AX131"/>
  <c r="AV181"/>
  <c r="AX181"/>
  <c r="AV191"/>
  <c r="AX191"/>
  <c r="AV127"/>
  <c r="AX127"/>
  <c r="AV69"/>
  <c r="AX69"/>
  <c r="AV143"/>
  <c r="AX143"/>
  <c r="AV161"/>
  <c r="AX161"/>
  <c r="AV157"/>
  <c r="AX157"/>
  <c r="AV88"/>
  <c r="AX88"/>
  <c r="AV29"/>
  <c r="AX29"/>
  <c r="AV145"/>
  <c r="AX145"/>
  <c r="AV140"/>
  <c r="AX140"/>
  <c r="AV73"/>
  <c r="AX73"/>
  <c r="AV57"/>
  <c r="AX57"/>
  <c r="AV5"/>
  <c r="AX5"/>
  <c r="AV129"/>
  <c r="AX129"/>
  <c r="AV152"/>
  <c r="AX152"/>
  <c r="AV185"/>
  <c r="AX185"/>
  <c r="AV172"/>
  <c r="AX172"/>
  <c r="AV116"/>
  <c r="AX116"/>
  <c r="AV120"/>
  <c r="AX120"/>
  <c r="AV124"/>
  <c r="AX124"/>
  <c r="AV182"/>
  <c r="AX182"/>
  <c r="AV4"/>
  <c r="AX4"/>
  <c r="AV24"/>
  <c r="AX24"/>
  <c r="AV40"/>
  <c r="AX40"/>
  <c r="AV56"/>
  <c r="AX56"/>
  <c r="AV68"/>
  <c r="AX68"/>
  <c r="AV100"/>
  <c r="AX100"/>
  <c r="AV10"/>
  <c r="AX10"/>
  <c r="AV14"/>
  <c r="AX14"/>
  <c r="AV19"/>
  <c r="AX19"/>
  <c r="AV26"/>
  <c r="AX26"/>
  <c r="AV34"/>
  <c r="AX34"/>
  <c r="AV39"/>
  <c r="AX39"/>
  <c r="AV46"/>
  <c r="AX46"/>
  <c r="AV50"/>
  <c r="AX50"/>
  <c r="AV55"/>
  <c r="AX55"/>
  <c r="AV70"/>
  <c r="AX70"/>
  <c r="AV74"/>
  <c r="AX74"/>
  <c r="AV79"/>
  <c r="AX79"/>
  <c r="AV83"/>
  <c r="AX83"/>
  <c r="AV90"/>
  <c r="AX90"/>
  <c r="AV107"/>
  <c r="AX107"/>
  <c r="AV121"/>
  <c r="AX121"/>
  <c r="AV137"/>
  <c r="AX137"/>
  <c r="AV153"/>
  <c r="AX153"/>
  <c r="AV187"/>
  <c r="AX187"/>
  <c r="AV193"/>
  <c r="AX193"/>
  <c r="AV197"/>
  <c r="AX197"/>
  <c r="AV142"/>
  <c r="AX142"/>
  <c r="AV146"/>
  <c r="AX146"/>
  <c r="AV158"/>
  <c r="AX158"/>
  <c r="AV170"/>
  <c r="AX170"/>
  <c r="AV176"/>
  <c r="AX176"/>
  <c r="AV186"/>
  <c r="AX186"/>
  <c r="AT85"/>
  <c r="AV85"/>
  <c r="AT108"/>
  <c r="AV108"/>
  <c r="AT25"/>
  <c r="AV25"/>
  <c r="AT11"/>
  <c r="AV11"/>
  <c r="AT71"/>
  <c r="AV71"/>
  <c r="AT91"/>
  <c r="AV91"/>
  <c r="AT106"/>
  <c r="AV106"/>
  <c r="AT123"/>
  <c r="AV123"/>
  <c r="AT111"/>
  <c r="AV111"/>
  <c r="Z28"/>
  <c r="Z32"/>
  <c r="Z36"/>
  <c r="Z44"/>
  <c r="Z54"/>
  <c r="Z60"/>
  <c r="Z68"/>
  <c r="Z72"/>
  <c r="Z90"/>
  <c r="Z100"/>
  <c r="Z107"/>
  <c r="Z19"/>
  <c r="Z33"/>
  <c r="Z37"/>
  <c r="Z67"/>
  <c r="Z77"/>
  <c r="Z103"/>
  <c r="Z131"/>
  <c r="Z141"/>
  <c r="Z174"/>
  <c r="O130"/>
  <c r="P130" s="1"/>
  <c r="O114"/>
  <c r="P114" s="1"/>
  <c r="Z125"/>
  <c r="Z194"/>
  <c r="Z108"/>
  <c r="O110"/>
  <c r="P110" s="1"/>
  <c r="AV110" s="1"/>
  <c r="O32"/>
  <c r="P32" s="1"/>
  <c r="AU198"/>
  <c r="AI172"/>
  <c r="AR172"/>
  <c r="AL172"/>
  <c r="AN172"/>
  <c r="AJ172"/>
  <c r="AF119"/>
  <c r="AP119"/>
  <c r="AQ119"/>
  <c r="AF135"/>
  <c r="AP135"/>
  <c r="AQ135"/>
  <c r="AF143"/>
  <c r="AP143"/>
  <c r="AQ143"/>
  <c r="AF154"/>
  <c r="AP154"/>
  <c r="AQ154"/>
  <c r="AF162"/>
  <c r="AP162"/>
  <c r="AQ162"/>
  <c r="AF170"/>
  <c r="AQ170"/>
  <c r="AP170"/>
  <c r="AF180"/>
  <c r="AP180"/>
  <c r="AQ180"/>
  <c r="AF190"/>
  <c r="AP190"/>
  <c r="AQ190"/>
  <c r="AF196"/>
  <c r="AP196"/>
  <c r="AQ196"/>
  <c r="AP118"/>
  <c r="AQ118"/>
  <c r="AP122"/>
  <c r="AQ122"/>
  <c r="AP126"/>
  <c r="AQ126"/>
  <c r="AP130"/>
  <c r="AQ130"/>
  <c r="AP134"/>
  <c r="AQ134"/>
  <c r="AF121"/>
  <c r="AP121"/>
  <c r="AQ121"/>
  <c r="AF140"/>
  <c r="AP140"/>
  <c r="AQ140"/>
  <c r="AF157"/>
  <c r="AP157"/>
  <c r="AQ157"/>
  <c r="AF165"/>
  <c r="AP165"/>
  <c r="AQ165"/>
  <c r="AF173"/>
  <c r="AQ173"/>
  <c r="AP173"/>
  <c r="AF183"/>
  <c r="AQ183"/>
  <c r="AP183"/>
  <c r="AF192"/>
  <c r="AP192"/>
  <c r="AQ192"/>
  <c r="AQ117"/>
  <c r="AP117"/>
  <c r="AP113"/>
  <c r="AQ113"/>
  <c r="AP115"/>
  <c r="AQ115"/>
  <c r="AP111"/>
  <c r="AQ111"/>
  <c r="AP110"/>
  <c r="AQ110"/>
  <c r="AP112"/>
  <c r="AQ112"/>
  <c r="AF5"/>
  <c r="AP5"/>
  <c r="AQ5"/>
  <c r="AF11"/>
  <c r="AP11"/>
  <c r="AQ11"/>
  <c r="AF17"/>
  <c r="AP17"/>
  <c r="AQ17"/>
  <c r="AF21"/>
  <c r="AP21"/>
  <c r="AQ21"/>
  <c r="AP25"/>
  <c r="AQ25"/>
  <c r="AF29"/>
  <c r="AP29"/>
  <c r="AQ29"/>
  <c r="AF35"/>
  <c r="AP35"/>
  <c r="AQ35"/>
  <c r="AP39"/>
  <c r="AQ39"/>
  <c r="AF45"/>
  <c r="AP45"/>
  <c r="AQ45"/>
  <c r="AP49"/>
  <c r="AQ49"/>
  <c r="AI8"/>
  <c r="AR8"/>
  <c r="AL8"/>
  <c r="AN8"/>
  <c r="AJ8"/>
  <c r="AI16"/>
  <c r="AT16"/>
  <c r="AR16"/>
  <c r="AL16"/>
  <c r="AN16"/>
  <c r="AJ16"/>
  <c r="AI24"/>
  <c r="AR24"/>
  <c r="AL24"/>
  <c r="AN24"/>
  <c r="AJ24"/>
  <c r="AI28"/>
  <c r="AT28"/>
  <c r="AR28"/>
  <c r="AL28"/>
  <c r="AN28"/>
  <c r="AJ28"/>
  <c r="AI33"/>
  <c r="AR33"/>
  <c r="AL33"/>
  <c r="AN33"/>
  <c r="AJ33"/>
  <c r="AI37"/>
  <c r="AR37"/>
  <c r="AL37"/>
  <c r="AN37"/>
  <c r="AJ37"/>
  <c r="AI41"/>
  <c r="AR41"/>
  <c r="AL41"/>
  <c r="AJ41"/>
  <c r="AN41"/>
  <c r="AI48"/>
  <c r="AT48"/>
  <c r="AR48"/>
  <c r="AL48"/>
  <c r="AN48"/>
  <c r="AJ48"/>
  <c r="AI52"/>
  <c r="AR52"/>
  <c r="AL52"/>
  <c r="AN52"/>
  <c r="AJ52"/>
  <c r="AI60"/>
  <c r="AT60"/>
  <c r="AR60"/>
  <c r="AL60"/>
  <c r="AN60"/>
  <c r="AJ60"/>
  <c r="AI65"/>
  <c r="AR65"/>
  <c r="AL65"/>
  <c r="AJ65"/>
  <c r="AN65"/>
  <c r="AI72"/>
  <c r="AT72"/>
  <c r="AR72"/>
  <c r="AL72"/>
  <c r="AJ72"/>
  <c r="AN72"/>
  <c r="AI77"/>
  <c r="AR77"/>
  <c r="AL77"/>
  <c r="AN77"/>
  <c r="AJ77"/>
  <c r="AI81"/>
  <c r="AR81"/>
  <c r="AL81"/>
  <c r="AN81"/>
  <c r="AJ81"/>
  <c r="AI89"/>
  <c r="AR89"/>
  <c r="AL89"/>
  <c r="AN89"/>
  <c r="AJ89"/>
  <c r="AI97"/>
  <c r="AR97"/>
  <c r="AL97"/>
  <c r="AN97"/>
  <c r="AJ97"/>
  <c r="AI101"/>
  <c r="AR101"/>
  <c r="AL101"/>
  <c r="AJ101"/>
  <c r="AN101"/>
  <c r="AP6"/>
  <c r="AQ6"/>
  <c r="AF10"/>
  <c r="AP10"/>
  <c r="AQ10"/>
  <c r="AF14"/>
  <c r="AP14"/>
  <c r="AQ14"/>
  <c r="AP18"/>
  <c r="AQ18"/>
  <c r="AP22"/>
  <c r="AQ22"/>
  <c r="AF26"/>
  <c r="AP26"/>
  <c r="AQ26"/>
  <c r="AP30"/>
  <c r="AQ30"/>
  <c r="AF34"/>
  <c r="AQ34"/>
  <c r="AP34"/>
  <c r="AQ38"/>
  <c r="AP38"/>
  <c r="AP42"/>
  <c r="AQ42"/>
  <c r="AF46"/>
  <c r="AQ46"/>
  <c r="AP46"/>
  <c r="AF50"/>
  <c r="AP50"/>
  <c r="AQ50"/>
  <c r="AI10"/>
  <c r="AR10"/>
  <c r="AL10"/>
  <c r="AJ10"/>
  <c r="AN10"/>
  <c r="AI14"/>
  <c r="AR14"/>
  <c r="AL14"/>
  <c r="AJ14"/>
  <c r="AN14"/>
  <c r="AI19"/>
  <c r="AR19"/>
  <c r="AL19"/>
  <c r="AJ19"/>
  <c r="AN19"/>
  <c r="AI26"/>
  <c r="AT26"/>
  <c r="AR26"/>
  <c r="AL26"/>
  <c r="AN26"/>
  <c r="AJ26"/>
  <c r="AI34"/>
  <c r="AR34"/>
  <c r="AL34"/>
  <c r="AN34"/>
  <c r="AJ34"/>
  <c r="AI39"/>
  <c r="AR39"/>
  <c r="AL39"/>
  <c r="AJ39"/>
  <c r="AN39"/>
  <c r="AI46"/>
  <c r="AR46"/>
  <c r="AL46"/>
  <c r="AN46"/>
  <c r="AJ46"/>
  <c r="AI50"/>
  <c r="AT50"/>
  <c r="AR50"/>
  <c r="AL50"/>
  <c r="AJ50"/>
  <c r="AN50"/>
  <c r="AI55"/>
  <c r="AT55"/>
  <c r="AR55"/>
  <c r="AL55"/>
  <c r="AN55"/>
  <c r="AJ55"/>
  <c r="AI59"/>
  <c r="AT59"/>
  <c r="AR59"/>
  <c r="AL59"/>
  <c r="AN59"/>
  <c r="AJ59"/>
  <c r="AI66"/>
  <c r="AR66"/>
  <c r="AL66"/>
  <c r="AN66"/>
  <c r="AJ66"/>
  <c r="AI70"/>
  <c r="AR70"/>
  <c r="AL70"/>
  <c r="AJ70"/>
  <c r="AN70"/>
  <c r="AI74"/>
  <c r="AR74"/>
  <c r="AL74"/>
  <c r="AN74"/>
  <c r="AJ74"/>
  <c r="AI79"/>
  <c r="AR79"/>
  <c r="AL79"/>
  <c r="AJ79"/>
  <c r="AN79"/>
  <c r="AI83"/>
  <c r="AR83"/>
  <c r="AL83"/>
  <c r="AN83"/>
  <c r="AJ83"/>
  <c r="AI90"/>
  <c r="AR90"/>
  <c r="AL90"/>
  <c r="AJ90"/>
  <c r="AN90"/>
  <c r="AI94"/>
  <c r="AT94"/>
  <c r="AR94"/>
  <c r="AL94"/>
  <c r="AN94"/>
  <c r="AJ94"/>
  <c r="AI99"/>
  <c r="AT99"/>
  <c r="AR99"/>
  <c r="AL99"/>
  <c r="AJ99"/>
  <c r="AN99"/>
  <c r="AI103"/>
  <c r="AT103"/>
  <c r="AR103"/>
  <c r="AL103"/>
  <c r="AJ103"/>
  <c r="AN103"/>
  <c r="AI107"/>
  <c r="AR107"/>
  <c r="AL107"/>
  <c r="AN107"/>
  <c r="AJ107"/>
  <c r="AP51"/>
  <c r="AQ51"/>
  <c r="AI121"/>
  <c r="AR121"/>
  <c r="AL121"/>
  <c r="AN121"/>
  <c r="AJ121"/>
  <c r="AI125"/>
  <c r="AT125"/>
  <c r="AR125"/>
  <c r="AL125"/>
  <c r="AN125"/>
  <c r="AJ125"/>
  <c r="AI137"/>
  <c r="AR137"/>
  <c r="AL137"/>
  <c r="AJ137"/>
  <c r="AN137"/>
  <c r="AI149"/>
  <c r="AT149"/>
  <c r="AR149"/>
  <c r="AL149"/>
  <c r="AN149"/>
  <c r="AJ149"/>
  <c r="AI157"/>
  <c r="AR157"/>
  <c r="AL157"/>
  <c r="AN157"/>
  <c r="AJ157"/>
  <c r="AI163"/>
  <c r="AR163"/>
  <c r="AL163"/>
  <c r="AN163"/>
  <c r="AJ163"/>
  <c r="AI169"/>
  <c r="AT169"/>
  <c r="AR169"/>
  <c r="AL169"/>
  <c r="AJ169"/>
  <c r="AN169"/>
  <c r="AI179"/>
  <c r="AT179"/>
  <c r="AR179"/>
  <c r="AL179"/>
  <c r="AN179"/>
  <c r="AJ179"/>
  <c r="AI187"/>
  <c r="AR187"/>
  <c r="AL187"/>
  <c r="AN187"/>
  <c r="AJ187"/>
  <c r="AI193"/>
  <c r="AR193"/>
  <c r="AL193"/>
  <c r="AJ193"/>
  <c r="AN193"/>
  <c r="AI197"/>
  <c r="AR197"/>
  <c r="AL197"/>
  <c r="AN197"/>
  <c r="AJ197"/>
  <c r="AP52"/>
  <c r="AQ52"/>
  <c r="AP58"/>
  <c r="AQ58"/>
  <c r="AP62"/>
  <c r="AQ62"/>
  <c r="AP66"/>
  <c r="AQ66"/>
  <c r="AP70"/>
  <c r="AQ70"/>
  <c r="AP74"/>
  <c r="AQ74"/>
  <c r="AP78"/>
  <c r="AQ78"/>
  <c r="AP82"/>
  <c r="AQ82"/>
  <c r="AF88"/>
  <c r="AP88"/>
  <c r="AQ88"/>
  <c r="AP92"/>
  <c r="AQ92"/>
  <c r="AP98"/>
  <c r="AQ98"/>
  <c r="AP102"/>
  <c r="AQ102"/>
  <c r="AP106"/>
  <c r="AQ106"/>
  <c r="AP55"/>
  <c r="AQ55"/>
  <c r="AQ59"/>
  <c r="AP59"/>
  <c r="AP65"/>
  <c r="AQ65"/>
  <c r="AP69"/>
  <c r="AQ69"/>
  <c r="AF73"/>
  <c r="AP73"/>
  <c r="AQ73"/>
  <c r="AP85"/>
  <c r="AQ85"/>
  <c r="AP89"/>
  <c r="AQ89"/>
  <c r="AP93"/>
  <c r="AQ93"/>
  <c r="AQ97"/>
  <c r="AP97"/>
  <c r="AP101"/>
  <c r="AQ101"/>
  <c r="AP105"/>
  <c r="AQ105"/>
  <c r="AI194"/>
  <c r="AR194"/>
  <c r="AL194"/>
  <c r="AN194"/>
  <c r="AJ194"/>
  <c r="AI138"/>
  <c r="AR138"/>
  <c r="AL138"/>
  <c r="AN138"/>
  <c r="AJ138"/>
  <c r="AI144"/>
  <c r="AR144"/>
  <c r="AL144"/>
  <c r="AN144"/>
  <c r="AJ144"/>
  <c r="AI150"/>
  <c r="AT150"/>
  <c r="AR150"/>
  <c r="AL150"/>
  <c r="AN150"/>
  <c r="AJ150"/>
  <c r="AI156"/>
  <c r="AR156"/>
  <c r="AL156"/>
  <c r="AJ156"/>
  <c r="AN156"/>
  <c r="AI162"/>
  <c r="AR162"/>
  <c r="AL162"/>
  <c r="AJ162"/>
  <c r="AN162"/>
  <c r="AI168"/>
  <c r="AT168"/>
  <c r="AR168"/>
  <c r="AL168"/>
  <c r="AN168"/>
  <c r="AJ168"/>
  <c r="AI174"/>
  <c r="AR174"/>
  <c r="AL174"/>
  <c r="AN174"/>
  <c r="AJ174"/>
  <c r="AI178"/>
  <c r="AR178"/>
  <c r="AL178"/>
  <c r="AN178"/>
  <c r="AJ178"/>
  <c r="AI184"/>
  <c r="AT184"/>
  <c r="AR184"/>
  <c r="AL184"/>
  <c r="AJ184"/>
  <c r="AN184"/>
  <c r="AI190"/>
  <c r="AR190"/>
  <c r="AL190"/>
  <c r="AJ190"/>
  <c r="AN190"/>
  <c r="AI196"/>
  <c r="AR196"/>
  <c r="AL196"/>
  <c r="AN196"/>
  <c r="AJ196"/>
  <c r="AP81"/>
  <c r="AQ81"/>
  <c r="AI51"/>
  <c r="AR51"/>
  <c r="AL51"/>
  <c r="AJ51"/>
  <c r="AN51"/>
  <c r="AI35"/>
  <c r="AR35"/>
  <c r="AL35"/>
  <c r="AN35"/>
  <c r="AJ35"/>
  <c r="AI13"/>
  <c r="AR13"/>
  <c r="AL13"/>
  <c r="AN13"/>
  <c r="AJ13"/>
  <c r="AI188"/>
  <c r="AR188"/>
  <c r="AL188"/>
  <c r="AN188"/>
  <c r="AJ188"/>
  <c r="AI45"/>
  <c r="AR45"/>
  <c r="AL45"/>
  <c r="AN45"/>
  <c r="AJ45"/>
  <c r="AI87"/>
  <c r="AR87"/>
  <c r="AL87"/>
  <c r="AN87"/>
  <c r="AJ87"/>
  <c r="AI61"/>
  <c r="AR61"/>
  <c r="AL61"/>
  <c r="AJ61"/>
  <c r="AN61"/>
  <c r="AI104"/>
  <c r="AR104"/>
  <c r="AL104"/>
  <c r="AJ104"/>
  <c r="AN104"/>
  <c r="AI27"/>
  <c r="AR27"/>
  <c r="AL27"/>
  <c r="AJ27"/>
  <c r="AN27"/>
  <c r="AI164"/>
  <c r="AR164"/>
  <c r="AL164"/>
  <c r="AJ164"/>
  <c r="AN164"/>
  <c r="AI139"/>
  <c r="AR139"/>
  <c r="AL139"/>
  <c r="AN139"/>
  <c r="AJ139"/>
  <c r="AI109"/>
  <c r="AR109"/>
  <c r="AL109"/>
  <c r="AJ109"/>
  <c r="AN109"/>
  <c r="AI17"/>
  <c r="AR17"/>
  <c r="AL17"/>
  <c r="AJ17"/>
  <c r="AN17"/>
  <c r="AI92"/>
  <c r="AR92"/>
  <c r="AL92"/>
  <c r="AJ92"/>
  <c r="AN92"/>
  <c r="AI131"/>
  <c r="AR131"/>
  <c r="AL131"/>
  <c r="AJ131"/>
  <c r="AN131"/>
  <c r="AI9"/>
  <c r="AT9"/>
  <c r="AR9"/>
  <c r="AL9"/>
  <c r="AN9"/>
  <c r="AJ9"/>
  <c r="AI181"/>
  <c r="AR181"/>
  <c r="AL181"/>
  <c r="AJ181"/>
  <c r="AN181"/>
  <c r="AI173"/>
  <c r="AT173"/>
  <c r="AR173"/>
  <c r="AL173"/>
  <c r="AN173"/>
  <c r="AJ173"/>
  <c r="AI191"/>
  <c r="AR191"/>
  <c r="AL191"/>
  <c r="AN191"/>
  <c r="AJ191"/>
  <c r="AI167"/>
  <c r="AT167"/>
  <c r="AR167"/>
  <c r="AL167"/>
  <c r="AJ167"/>
  <c r="AN167"/>
  <c r="AI127"/>
  <c r="AR127"/>
  <c r="AL127"/>
  <c r="AJ127"/>
  <c r="AN127"/>
  <c r="AI69"/>
  <c r="AR69"/>
  <c r="AL69"/>
  <c r="AJ69"/>
  <c r="AN69"/>
  <c r="AI143"/>
  <c r="AR143"/>
  <c r="AL143"/>
  <c r="AN143"/>
  <c r="AJ143"/>
  <c r="AI88"/>
  <c r="AR88"/>
  <c r="AL88"/>
  <c r="AJ88"/>
  <c r="AN88"/>
  <c r="AI29"/>
  <c r="AR29"/>
  <c r="AL29"/>
  <c r="AJ29"/>
  <c r="AN29"/>
  <c r="AI140"/>
  <c r="AR140"/>
  <c r="AL140"/>
  <c r="AN140"/>
  <c r="AJ140"/>
  <c r="AI73"/>
  <c r="AR73"/>
  <c r="AL73"/>
  <c r="AJ73"/>
  <c r="AN73"/>
  <c r="AI57"/>
  <c r="AR57"/>
  <c r="AL57"/>
  <c r="AJ57"/>
  <c r="AN57"/>
  <c r="AI5"/>
  <c r="AR5"/>
  <c r="AL5"/>
  <c r="AJ5"/>
  <c r="AN5"/>
  <c r="AI129"/>
  <c r="AR129"/>
  <c r="AL129"/>
  <c r="AN129"/>
  <c r="AJ129"/>
  <c r="AI152"/>
  <c r="AR152"/>
  <c r="AL152"/>
  <c r="AJ152"/>
  <c r="AN152"/>
  <c r="AI185"/>
  <c r="AR185"/>
  <c r="AL185"/>
  <c r="AJ185"/>
  <c r="AN185"/>
  <c r="AI23"/>
  <c r="AR23"/>
  <c r="AL23"/>
  <c r="AJ23"/>
  <c r="AN23"/>
  <c r="AI95"/>
  <c r="AT95"/>
  <c r="AR95"/>
  <c r="AL95"/>
  <c r="AJ95"/>
  <c r="AN95"/>
  <c r="AI151"/>
  <c r="AT151"/>
  <c r="AR151"/>
  <c r="AL151"/>
  <c r="AN151"/>
  <c r="AJ151"/>
  <c r="AI53"/>
  <c r="AT53"/>
  <c r="AR53"/>
  <c r="AL53"/>
  <c r="AN53"/>
  <c r="AJ53"/>
  <c r="AI21"/>
  <c r="AT21"/>
  <c r="AR21"/>
  <c r="AL21"/>
  <c r="AN21"/>
  <c r="AJ21"/>
  <c r="AP56"/>
  <c r="AQ56"/>
  <c r="AT5"/>
  <c r="AT13"/>
  <c r="AT17"/>
  <c r="AT19"/>
  <c r="AT23"/>
  <c r="AT27"/>
  <c r="AT29"/>
  <c r="AT33"/>
  <c r="AT35"/>
  <c r="AT37"/>
  <c r="AT39"/>
  <c r="AT41"/>
  <c r="AT45"/>
  <c r="AT51"/>
  <c r="AT57"/>
  <c r="AT61"/>
  <c r="AT65"/>
  <c r="AT69"/>
  <c r="AT73"/>
  <c r="AT77"/>
  <c r="AT79"/>
  <c r="AT81"/>
  <c r="AT83"/>
  <c r="AT87"/>
  <c r="AT89"/>
  <c r="AT97"/>
  <c r="AT101"/>
  <c r="AT104"/>
  <c r="AT109"/>
  <c r="AT121"/>
  <c r="AT127"/>
  <c r="AT129"/>
  <c r="AT131"/>
  <c r="AO198"/>
  <c r="AI108"/>
  <c r="AR108"/>
  <c r="AL108"/>
  <c r="AN108"/>
  <c r="AJ108"/>
  <c r="AI182"/>
  <c r="AR182"/>
  <c r="AL182"/>
  <c r="AN182"/>
  <c r="AJ182"/>
  <c r="AF127"/>
  <c r="AP127"/>
  <c r="AQ127"/>
  <c r="AF139"/>
  <c r="AP139"/>
  <c r="AQ139"/>
  <c r="AF151"/>
  <c r="AQ151"/>
  <c r="AP151"/>
  <c r="AF158"/>
  <c r="AP158"/>
  <c r="AQ158"/>
  <c r="AF166"/>
  <c r="AP166"/>
  <c r="AQ166"/>
  <c r="AF176"/>
  <c r="AP176"/>
  <c r="AQ176"/>
  <c r="AF186"/>
  <c r="AP186"/>
  <c r="AQ186"/>
  <c r="AF193"/>
  <c r="AP193"/>
  <c r="AQ193"/>
  <c r="AP116"/>
  <c r="AQ116"/>
  <c r="AP120"/>
  <c r="AQ120"/>
  <c r="AP124"/>
  <c r="AQ124"/>
  <c r="AP128"/>
  <c r="AQ128"/>
  <c r="AQ132"/>
  <c r="AP132"/>
  <c r="AP114"/>
  <c r="AQ114"/>
  <c r="AF129"/>
  <c r="AP129"/>
  <c r="AQ129"/>
  <c r="AF144"/>
  <c r="AQ144"/>
  <c r="AP144"/>
  <c r="AF152"/>
  <c r="AP152"/>
  <c r="AQ152"/>
  <c r="AF161"/>
  <c r="AP161"/>
  <c r="AQ161"/>
  <c r="AF169"/>
  <c r="AP169"/>
  <c r="AQ169"/>
  <c r="AF179"/>
  <c r="AP179"/>
  <c r="AQ179"/>
  <c r="AF197"/>
  <c r="AQ197"/>
  <c r="AP197"/>
  <c r="AP182"/>
  <c r="AQ182"/>
  <c r="AP172"/>
  <c r="AQ172"/>
  <c r="AI177"/>
  <c r="AR177"/>
  <c r="AL177"/>
  <c r="AJ177"/>
  <c r="AN177"/>
  <c r="AF123"/>
  <c r="AP123"/>
  <c r="AQ123"/>
  <c r="AF131"/>
  <c r="AP131"/>
  <c r="AQ131"/>
  <c r="AF137"/>
  <c r="AP137"/>
  <c r="AQ137"/>
  <c r="AF141"/>
  <c r="AP141"/>
  <c r="AQ141"/>
  <c r="AF145"/>
  <c r="AP145"/>
  <c r="AQ145"/>
  <c r="AF149"/>
  <c r="AP149"/>
  <c r="AQ149"/>
  <c r="AF153"/>
  <c r="AP153"/>
  <c r="AQ153"/>
  <c r="AF156"/>
  <c r="AP156"/>
  <c r="AQ156"/>
  <c r="AF164"/>
  <c r="AP164"/>
  <c r="AQ164"/>
  <c r="AF168"/>
  <c r="AP168"/>
  <c r="AQ168"/>
  <c r="AF174"/>
  <c r="AP174"/>
  <c r="AQ174"/>
  <c r="AF178"/>
  <c r="AP178"/>
  <c r="AQ178"/>
  <c r="AF184"/>
  <c r="AP184"/>
  <c r="AQ184"/>
  <c r="AF188"/>
  <c r="AP188"/>
  <c r="AQ188"/>
  <c r="AF191"/>
  <c r="AQ191"/>
  <c r="AP191"/>
  <c r="AF195"/>
  <c r="AP195"/>
  <c r="AQ195"/>
  <c r="AF109"/>
  <c r="AP109"/>
  <c r="AQ109"/>
  <c r="AI116"/>
  <c r="AR116"/>
  <c r="AL116"/>
  <c r="AN116"/>
  <c r="AJ116"/>
  <c r="AI118"/>
  <c r="AR118"/>
  <c r="AL118"/>
  <c r="AJ118"/>
  <c r="AN118"/>
  <c r="AI120"/>
  <c r="AR120"/>
  <c r="AL120"/>
  <c r="AN120"/>
  <c r="AJ120"/>
  <c r="AI122"/>
  <c r="AR122"/>
  <c r="AL122"/>
  <c r="AN122"/>
  <c r="AJ122"/>
  <c r="AI124"/>
  <c r="AR124"/>
  <c r="AL124"/>
  <c r="AN124"/>
  <c r="AJ124"/>
  <c r="AI126"/>
  <c r="AR126"/>
  <c r="AL126"/>
  <c r="AJ126"/>
  <c r="AN126"/>
  <c r="AI128"/>
  <c r="AT128"/>
  <c r="AR128"/>
  <c r="AL128"/>
  <c r="AN128"/>
  <c r="AJ128"/>
  <c r="AI130"/>
  <c r="AR130"/>
  <c r="AL130"/>
  <c r="AN130"/>
  <c r="AJ130"/>
  <c r="AI132"/>
  <c r="AT132"/>
  <c r="AR132"/>
  <c r="AL132"/>
  <c r="AN132"/>
  <c r="AJ132"/>
  <c r="AI134"/>
  <c r="AT134"/>
  <c r="AR134"/>
  <c r="AL134"/>
  <c r="AJ134"/>
  <c r="AN134"/>
  <c r="AI114"/>
  <c r="AR114"/>
  <c r="AL114"/>
  <c r="AN114"/>
  <c r="AJ114"/>
  <c r="AF125"/>
  <c r="AP125"/>
  <c r="AQ125"/>
  <c r="AF133"/>
  <c r="AP133"/>
  <c r="AQ133"/>
  <c r="AF138"/>
  <c r="AP138"/>
  <c r="AQ138"/>
  <c r="AF142"/>
  <c r="AP142"/>
  <c r="AQ142"/>
  <c r="AF146"/>
  <c r="AQ146"/>
  <c r="AP146"/>
  <c r="AF150"/>
  <c r="AP150"/>
  <c r="AQ150"/>
  <c r="AF163"/>
  <c r="AP163"/>
  <c r="AQ163"/>
  <c r="AF167"/>
  <c r="AP167"/>
  <c r="AQ167"/>
  <c r="AF171"/>
  <c r="AP171"/>
  <c r="AQ171"/>
  <c r="AF181"/>
  <c r="AP181"/>
  <c r="AQ181"/>
  <c r="AF185"/>
  <c r="AP185"/>
  <c r="AQ185"/>
  <c r="AF189"/>
  <c r="AP189"/>
  <c r="AQ189"/>
  <c r="AF194"/>
  <c r="AQ194"/>
  <c r="AP194"/>
  <c r="AP108"/>
  <c r="AQ108"/>
  <c r="AI117"/>
  <c r="AT117"/>
  <c r="AR117"/>
  <c r="AN117"/>
  <c r="AL117"/>
  <c r="AJ117"/>
  <c r="AI113"/>
  <c r="AT113"/>
  <c r="AR113"/>
  <c r="AL113"/>
  <c r="AN113"/>
  <c r="AJ113"/>
  <c r="AI115"/>
  <c r="AT115"/>
  <c r="AR115"/>
  <c r="AL115"/>
  <c r="AJ115"/>
  <c r="AN115"/>
  <c r="AI111"/>
  <c r="AR111"/>
  <c r="AL111"/>
  <c r="AN111"/>
  <c r="AJ111"/>
  <c r="AI110"/>
  <c r="AT110"/>
  <c r="AR110"/>
  <c r="AL110"/>
  <c r="AJ110"/>
  <c r="AN110"/>
  <c r="AI112"/>
  <c r="AT112"/>
  <c r="AR112"/>
  <c r="AL112"/>
  <c r="AJ112"/>
  <c r="AN112"/>
  <c r="AF9"/>
  <c r="AP9"/>
  <c r="AQ9"/>
  <c r="AF13"/>
  <c r="AP13"/>
  <c r="AQ13"/>
  <c r="AP19"/>
  <c r="AQ19"/>
  <c r="AF23"/>
  <c r="AP23"/>
  <c r="AQ23"/>
  <c r="AF27"/>
  <c r="AP27"/>
  <c r="AQ27"/>
  <c r="AP33"/>
  <c r="AQ33"/>
  <c r="AP37"/>
  <c r="AQ37"/>
  <c r="AP41"/>
  <c r="AQ41"/>
  <c r="AF47"/>
  <c r="AP47"/>
  <c r="AQ47"/>
  <c r="AR4"/>
  <c r="AP4"/>
  <c r="AL4"/>
  <c r="AN4"/>
  <c r="AJ4"/>
  <c r="AI12"/>
  <c r="AR12"/>
  <c r="AL12"/>
  <c r="AN12"/>
  <c r="AJ12"/>
  <c r="AI20"/>
  <c r="AR20"/>
  <c r="AL20"/>
  <c r="AJ20"/>
  <c r="AN20"/>
  <c r="AI25"/>
  <c r="AR25"/>
  <c r="AL25"/>
  <c r="AN25"/>
  <c r="AJ25"/>
  <c r="AI32"/>
  <c r="AR32"/>
  <c r="AL32"/>
  <c r="AN32"/>
  <c r="AJ32"/>
  <c r="AI36"/>
  <c r="AR36"/>
  <c r="AL36"/>
  <c r="AJ36"/>
  <c r="AN36"/>
  <c r="AI40"/>
  <c r="AR40"/>
  <c r="AL40"/>
  <c r="AN40"/>
  <c r="AJ40"/>
  <c r="AI44"/>
  <c r="AR44"/>
  <c r="AL44"/>
  <c r="AN44"/>
  <c r="AJ44"/>
  <c r="AI49"/>
  <c r="AT49"/>
  <c r="AR49"/>
  <c r="AL49"/>
  <c r="AJ49"/>
  <c r="AN49"/>
  <c r="AI56"/>
  <c r="AR56"/>
  <c r="AL56"/>
  <c r="AJ56"/>
  <c r="AN56"/>
  <c r="AI64"/>
  <c r="AR64"/>
  <c r="AL64"/>
  <c r="AN64"/>
  <c r="AJ64"/>
  <c r="AI68"/>
  <c r="AR68"/>
  <c r="AL68"/>
  <c r="AJ68"/>
  <c r="AN68"/>
  <c r="AI76"/>
  <c r="AR76"/>
  <c r="AL76"/>
  <c r="AN76"/>
  <c r="AJ76"/>
  <c r="AI80"/>
  <c r="AT80"/>
  <c r="AR80"/>
  <c r="AL80"/>
  <c r="AJ80"/>
  <c r="AN80"/>
  <c r="AI85"/>
  <c r="AR85"/>
  <c r="AL85"/>
  <c r="AJ85"/>
  <c r="AN85"/>
  <c r="AI93"/>
  <c r="AT93"/>
  <c r="AR93"/>
  <c r="AL93"/>
  <c r="AJ93"/>
  <c r="AN93"/>
  <c r="AI100"/>
  <c r="AR100"/>
  <c r="AL100"/>
  <c r="AN100"/>
  <c r="AJ100"/>
  <c r="AI105"/>
  <c r="AR105"/>
  <c r="AL105"/>
  <c r="AJ105"/>
  <c r="AN105"/>
  <c r="AQ8"/>
  <c r="AP8"/>
  <c r="AP12"/>
  <c r="AQ12"/>
  <c r="AP16"/>
  <c r="AQ16"/>
  <c r="AP20"/>
  <c r="AQ20"/>
  <c r="AP24"/>
  <c r="AQ24"/>
  <c r="AP28"/>
  <c r="AQ28"/>
  <c r="AP32"/>
  <c r="AQ32"/>
  <c r="AP36"/>
  <c r="AQ36"/>
  <c r="AQ40"/>
  <c r="AP40"/>
  <c r="AQ44"/>
  <c r="AP44"/>
  <c r="AP48"/>
  <c r="AQ48"/>
  <c r="AI6"/>
  <c r="AR6"/>
  <c r="AL6"/>
  <c r="AN6"/>
  <c r="AJ6"/>
  <c r="AI11"/>
  <c r="AR11"/>
  <c r="AL11"/>
  <c r="AJ11"/>
  <c r="AN11"/>
  <c r="AI18"/>
  <c r="AT18"/>
  <c r="AR18"/>
  <c r="AL18"/>
  <c r="AN18"/>
  <c r="AJ18"/>
  <c r="AI22"/>
  <c r="AR22"/>
  <c r="AL22"/>
  <c r="AJ22"/>
  <c r="AN22"/>
  <c r="AI30"/>
  <c r="AR30"/>
  <c r="AL30"/>
  <c r="AN30"/>
  <c r="AJ30"/>
  <c r="AI38"/>
  <c r="AR38"/>
  <c r="AL38"/>
  <c r="AN38"/>
  <c r="AJ38"/>
  <c r="AI42"/>
  <c r="AR42"/>
  <c r="AL42"/>
  <c r="AN42"/>
  <c r="AJ42"/>
  <c r="AI47"/>
  <c r="AT47"/>
  <c r="AR47"/>
  <c r="AL47"/>
  <c r="AJ47"/>
  <c r="AN47"/>
  <c r="AI54"/>
  <c r="AR54"/>
  <c r="AL54"/>
  <c r="AJ54"/>
  <c r="AN54"/>
  <c r="AI58"/>
  <c r="AR58"/>
  <c r="AL58"/>
  <c r="AN58"/>
  <c r="AJ58"/>
  <c r="AI62"/>
  <c r="AR62"/>
  <c r="AL62"/>
  <c r="AJ62"/>
  <c r="AN62"/>
  <c r="AI67"/>
  <c r="AR67"/>
  <c r="AL67"/>
  <c r="AN67"/>
  <c r="AJ67"/>
  <c r="AI71"/>
  <c r="AR71"/>
  <c r="AL71"/>
  <c r="AN71"/>
  <c r="AJ71"/>
  <c r="AI78"/>
  <c r="AR78"/>
  <c r="AL78"/>
  <c r="AN78"/>
  <c r="AJ78"/>
  <c r="AI82"/>
  <c r="AR82"/>
  <c r="AL82"/>
  <c r="AN82"/>
  <c r="AJ82"/>
  <c r="AI86"/>
  <c r="AR86"/>
  <c r="AL86"/>
  <c r="AN86"/>
  <c r="AJ86"/>
  <c r="AI91"/>
  <c r="AR91"/>
  <c r="AL91"/>
  <c r="AJ91"/>
  <c r="AN91"/>
  <c r="AI98"/>
  <c r="AR98"/>
  <c r="AL98"/>
  <c r="AN98"/>
  <c r="AJ98"/>
  <c r="AI102"/>
  <c r="AT102"/>
  <c r="AR102"/>
  <c r="AL102"/>
  <c r="AN102"/>
  <c r="AJ102"/>
  <c r="AI106"/>
  <c r="AR106"/>
  <c r="AL106"/>
  <c r="AJ106"/>
  <c r="AN106"/>
  <c r="AI141"/>
  <c r="AR141"/>
  <c r="AL141"/>
  <c r="AJ141"/>
  <c r="AN141"/>
  <c r="AI119"/>
  <c r="AT119"/>
  <c r="AR119"/>
  <c r="AL119"/>
  <c r="AJ119"/>
  <c r="AN119"/>
  <c r="AI123"/>
  <c r="AR123"/>
  <c r="AL123"/>
  <c r="AJ123"/>
  <c r="AN123"/>
  <c r="AI135"/>
  <c r="AR135"/>
  <c r="AL135"/>
  <c r="AN135"/>
  <c r="AJ135"/>
  <c r="AI145"/>
  <c r="AR145"/>
  <c r="AL145"/>
  <c r="AN145"/>
  <c r="AJ145"/>
  <c r="AI153"/>
  <c r="AT153"/>
  <c r="AR153"/>
  <c r="AL153"/>
  <c r="AN153"/>
  <c r="AJ153"/>
  <c r="AI161"/>
  <c r="AR161"/>
  <c r="AL161"/>
  <c r="AN161"/>
  <c r="AJ161"/>
  <c r="AI165"/>
  <c r="AT165"/>
  <c r="AR165"/>
  <c r="AL165"/>
  <c r="AN165"/>
  <c r="AJ165"/>
  <c r="AI171"/>
  <c r="AR171"/>
  <c r="AL171"/>
  <c r="AN171"/>
  <c r="AJ171"/>
  <c r="AI183"/>
  <c r="AR183"/>
  <c r="AL183"/>
  <c r="AN183"/>
  <c r="AJ183"/>
  <c r="AI189"/>
  <c r="AR189"/>
  <c r="AL189"/>
  <c r="AN189"/>
  <c r="AJ189"/>
  <c r="AI195"/>
  <c r="AR195"/>
  <c r="AL195"/>
  <c r="AN195"/>
  <c r="AJ195"/>
  <c r="AP177"/>
  <c r="AQ177"/>
  <c r="AP54"/>
  <c r="AQ54"/>
  <c r="AQ60"/>
  <c r="AP60"/>
  <c r="AP64"/>
  <c r="AQ64"/>
  <c r="AP68"/>
  <c r="AQ68"/>
  <c r="AP72"/>
  <c r="AQ72"/>
  <c r="AP76"/>
  <c r="AQ76"/>
  <c r="AP80"/>
  <c r="AQ80"/>
  <c r="AP86"/>
  <c r="AQ86"/>
  <c r="AP90"/>
  <c r="AQ90"/>
  <c r="AP94"/>
  <c r="AQ94"/>
  <c r="AP100"/>
  <c r="AQ100"/>
  <c r="AP104"/>
  <c r="AQ104"/>
  <c r="AF53"/>
  <c r="AP53"/>
  <c r="AQ53"/>
  <c r="AF57"/>
  <c r="AP57"/>
  <c r="AQ57"/>
  <c r="AP61"/>
  <c r="AQ61"/>
  <c r="AP67"/>
  <c r="AQ67"/>
  <c r="AP71"/>
  <c r="AQ71"/>
  <c r="AP77"/>
  <c r="AQ77"/>
  <c r="AP87"/>
  <c r="AQ87"/>
  <c r="AP91"/>
  <c r="AQ91"/>
  <c r="AF95"/>
  <c r="AP95"/>
  <c r="AQ95"/>
  <c r="AP99"/>
  <c r="AQ99"/>
  <c r="AP103"/>
  <c r="AQ103"/>
  <c r="AP107"/>
  <c r="AQ107"/>
  <c r="AI133"/>
  <c r="AR133"/>
  <c r="AL133"/>
  <c r="AJ133"/>
  <c r="AN133"/>
  <c r="AI142"/>
  <c r="AR142"/>
  <c r="AL142"/>
  <c r="AN142"/>
  <c r="AJ142"/>
  <c r="AI146"/>
  <c r="AR146"/>
  <c r="AL146"/>
  <c r="AN146"/>
  <c r="AJ146"/>
  <c r="AI154"/>
  <c r="AR154"/>
  <c r="AL154"/>
  <c r="AJ154"/>
  <c r="AN154"/>
  <c r="AI158"/>
  <c r="AR158"/>
  <c r="AL158"/>
  <c r="AN158"/>
  <c r="AJ158"/>
  <c r="AI166"/>
  <c r="AT166"/>
  <c r="AR166"/>
  <c r="AL166"/>
  <c r="AJ166"/>
  <c r="AN166"/>
  <c r="AI170"/>
  <c r="AR170"/>
  <c r="AL170"/>
  <c r="AN170"/>
  <c r="AJ170"/>
  <c r="AI176"/>
  <c r="AR176"/>
  <c r="AL176"/>
  <c r="AN176"/>
  <c r="AJ176"/>
  <c r="AI180"/>
  <c r="AT180"/>
  <c r="AR180"/>
  <c r="AL180"/>
  <c r="AN180"/>
  <c r="AJ180"/>
  <c r="AI186"/>
  <c r="AR186"/>
  <c r="AL186"/>
  <c r="AJ186"/>
  <c r="AN186"/>
  <c r="AI192"/>
  <c r="AT192"/>
  <c r="AR192"/>
  <c r="AL192"/>
  <c r="AJ192"/>
  <c r="AN192"/>
  <c r="AP79"/>
  <c r="AQ79"/>
  <c r="AQ83"/>
  <c r="AP83"/>
  <c r="AT133"/>
  <c r="AT135"/>
  <c r="AT137"/>
  <c r="AT139"/>
  <c r="AT141"/>
  <c r="AT143"/>
  <c r="AT145"/>
  <c r="AT157"/>
  <c r="AT161"/>
  <c r="AT163"/>
  <c r="AT171"/>
  <c r="AT177"/>
  <c r="AT181"/>
  <c r="AT183"/>
  <c r="AT185"/>
  <c r="AT187"/>
  <c r="AT189"/>
  <c r="AT191"/>
  <c r="AT193"/>
  <c r="AT195"/>
  <c r="AT197"/>
  <c r="AT4"/>
  <c r="AT6"/>
  <c r="AT8"/>
  <c r="AT10"/>
  <c r="AT12"/>
  <c r="AT14"/>
  <c r="AT20"/>
  <c r="AT22"/>
  <c r="AT24"/>
  <c r="AT30"/>
  <c r="AT32"/>
  <c r="AT34"/>
  <c r="AT36"/>
  <c r="AT38"/>
  <c r="AT40"/>
  <c r="AT42"/>
  <c r="AT44"/>
  <c r="AT46"/>
  <c r="AT52"/>
  <c r="AT54"/>
  <c r="AT56"/>
  <c r="AT58"/>
  <c r="AT62"/>
  <c r="AT64"/>
  <c r="AT66"/>
  <c r="AT68"/>
  <c r="AT70"/>
  <c r="AT74"/>
  <c r="AT76"/>
  <c r="AT78"/>
  <c r="AT82"/>
  <c r="AT86"/>
  <c r="AT88"/>
  <c r="AT90"/>
  <c r="AT92"/>
  <c r="AT98"/>
  <c r="AT100"/>
  <c r="AT105"/>
  <c r="AT107"/>
  <c r="AT114"/>
  <c r="AT116"/>
  <c r="AT118"/>
  <c r="AT120"/>
  <c r="AT122"/>
  <c r="AT124"/>
  <c r="AT126"/>
  <c r="AT130"/>
  <c r="AT138"/>
  <c r="AT140"/>
  <c r="AT142"/>
  <c r="AT144"/>
  <c r="AT146"/>
  <c r="AT152"/>
  <c r="AT154"/>
  <c r="AT156"/>
  <c r="AT158"/>
  <c r="AT162"/>
  <c r="AT164"/>
  <c r="AT170"/>
  <c r="AT172"/>
  <c r="AT174"/>
  <c r="AT176"/>
  <c r="AT178"/>
  <c r="AT182"/>
  <c r="AT186"/>
  <c r="AT188"/>
  <c r="AT190"/>
  <c r="AT194"/>
  <c r="AT196"/>
  <c r="AF33"/>
  <c r="AF37"/>
  <c r="AF41"/>
  <c r="O155"/>
  <c r="P155" s="1"/>
  <c r="W155"/>
  <c r="O84"/>
  <c r="P84" s="1"/>
  <c r="AV84" s="1"/>
  <c r="W84"/>
  <c r="Z84" s="1"/>
  <c r="O147"/>
  <c r="P147" s="1"/>
  <c r="W147"/>
  <c r="Z147" s="1"/>
  <c r="O175"/>
  <c r="P175" s="1"/>
  <c r="W175"/>
  <c r="O75"/>
  <c r="P75" s="1"/>
  <c r="W75"/>
  <c r="Z75" s="1"/>
  <c r="O7"/>
  <c r="P7" s="1"/>
  <c r="W7"/>
  <c r="Z7" s="1"/>
  <c r="O136"/>
  <c r="P136" s="1"/>
  <c r="W136"/>
  <c r="Z136" s="1"/>
  <c r="O15"/>
  <c r="P15" s="1"/>
  <c r="AV15" s="1"/>
  <c r="W15"/>
  <c r="Z15" s="1"/>
  <c r="O148"/>
  <c r="P148" s="1"/>
  <c r="W148"/>
  <c r="O159"/>
  <c r="P159" s="1"/>
  <c r="W159"/>
  <c r="Z159" s="1"/>
  <c r="O160"/>
  <c r="P160" s="1"/>
  <c r="W160"/>
  <c r="Z160" s="1"/>
  <c r="O96"/>
  <c r="P96" s="1"/>
  <c r="W96"/>
  <c r="Z96" s="1"/>
  <c r="O63"/>
  <c r="P63" s="1"/>
  <c r="AV63" s="1"/>
  <c r="W63"/>
  <c r="Z63" s="1"/>
  <c r="O43"/>
  <c r="P43" s="1"/>
  <c r="W43"/>
  <c r="Z43" s="1"/>
  <c r="O31"/>
  <c r="P31" s="1"/>
  <c r="AV31" s="1"/>
  <c r="W31"/>
  <c r="Z31" s="1"/>
  <c r="AF55"/>
  <c r="AF59"/>
  <c r="AF89"/>
  <c r="AF97"/>
  <c r="AF101"/>
  <c r="Z148"/>
  <c r="AF182"/>
  <c r="AF172"/>
  <c r="Z155"/>
  <c r="Z175"/>
  <c r="AF108"/>
  <c r="AF19"/>
  <c r="AF39"/>
  <c r="AF8"/>
  <c r="AF16"/>
  <c r="AF24"/>
  <c r="AF28"/>
  <c r="AF48"/>
  <c r="AF52"/>
  <c r="AF66"/>
  <c r="AF70"/>
  <c r="AF74"/>
  <c r="AF92"/>
  <c r="AF104"/>
  <c r="AF12"/>
  <c r="AF20"/>
  <c r="AF32"/>
  <c r="AF36"/>
  <c r="AF40"/>
  <c r="AF44"/>
  <c r="AF58"/>
  <c r="AF62"/>
  <c r="AF78"/>
  <c r="AF82"/>
  <c r="AF100"/>
  <c r="AF67"/>
  <c r="AF71"/>
  <c r="AF85"/>
  <c r="AF93"/>
  <c r="AF105"/>
  <c r="AF81"/>
  <c r="AF56"/>
  <c r="AF116"/>
  <c r="AF118"/>
  <c r="AF120"/>
  <c r="AF122"/>
  <c r="AF124"/>
  <c r="AF126"/>
  <c r="AF128"/>
  <c r="AF130"/>
  <c r="AF132"/>
  <c r="AF134"/>
  <c r="AF114"/>
  <c r="AF117"/>
  <c r="AF113"/>
  <c r="AF115"/>
  <c r="AF111"/>
  <c r="AF110"/>
  <c r="AF112"/>
  <c r="AF25"/>
  <c r="AF49"/>
  <c r="AF6"/>
  <c r="AF18"/>
  <c r="AF22"/>
  <c r="AF30"/>
  <c r="AF38"/>
  <c r="AF42"/>
  <c r="AF51"/>
  <c r="AF177"/>
  <c r="AF54"/>
  <c r="AF60"/>
  <c r="AF64"/>
  <c r="AF68"/>
  <c r="AF72"/>
  <c r="AF76"/>
  <c r="AF80"/>
  <c r="AF86"/>
  <c r="AF90"/>
  <c r="AF94"/>
  <c r="AF98"/>
  <c r="AF102"/>
  <c r="AF106"/>
  <c r="AF61"/>
  <c r="AF65"/>
  <c r="AF69"/>
  <c r="AF77"/>
  <c r="AF87"/>
  <c r="AF91"/>
  <c r="AF99"/>
  <c r="AF103"/>
  <c r="AF107"/>
  <c r="AF79"/>
  <c r="AF83"/>
  <c r="Z187"/>
  <c r="AI4"/>
  <c r="P198" l="1"/>
  <c r="AV96"/>
  <c r="AX96"/>
  <c r="AV147"/>
  <c r="AX147"/>
  <c r="AV155"/>
  <c r="AX155"/>
  <c r="AV32"/>
  <c r="AX32"/>
  <c r="AV130"/>
  <c r="AX130"/>
  <c r="AV175"/>
  <c r="AX175"/>
  <c r="AV114"/>
  <c r="AX114"/>
  <c r="AF159"/>
  <c r="AP159"/>
  <c r="AQ159"/>
  <c r="AF160"/>
  <c r="AQ160"/>
  <c r="AP160"/>
  <c r="AF147"/>
  <c r="AQ147"/>
  <c r="AP147"/>
  <c r="AF136"/>
  <c r="AP136"/>
  <c r="AQ136"/>
  <c r="AI31"/>
  <c r="AR31"/>
  <c r="AL31"/>
  <c r="AN31"/>
  <c r="AJ31"/>
  <c r="AT31"/>
  <c r="AI43"/>
  <c r="AR43"/>
  <c r="AL43"/>
  <c r="AN43"/>
  <c r="AJ43"/>
  <c r="AT43"/>
  <c r="AI63"/>
  <c r="AT63"/>
  <c r="AR63"/>
  <c r="AL63"/>
  <c r="AN63"/>
  <c r="AJ63"/>
  <c r="AI96"/>
  <c r="AR96"/>
  <c r="AL96"/>
  <c r="AJ96"/>
  <c r="AN96"/>
  <c r="AT96"/>
  <c r="AI160"/>
  <c r="AT160"/>
  <c r="AR160"/>
  <c r="AL160"/>
  <c r="AN160"/>
  <c r="AJ160"/>
  <c r="AI159"/>
  <c r="AT159"/>
  <c r="AR159"/>
  <c r="AL159"/>
  <c r="AJ159"/>
  <c r="AN159"/>
  <c r="AI148"/>
  <c r="AT148"/>
  <c r="AR148"/>
  <c r="AL148"/>
  <c r="AN148"/>
  <c r="AJ148"/>
  <c r="AI15"/>
  <c r="AR15"/>
  <c r="AL15"/>
  <c r="AJ15"/>
  <c r="AN15"/>
  <c r="AT15"/>
  <c r="AI136"/>
  <c r="AT136"/>
  <c r="AR136"/>
  <c r="AL136"/>
  <c r="AN136"/>
  <c r="AJ136"/>
  <c r="AI7"/>
  <c r="AT7"/>
  <c r="AR7"/>
  <c r="AL7"/>
  <c r="AJ7"/>
  <c r="AN7"/>
  <c r="AI75"/>
  <c r="AR75"/>
  <c r="AL75"/>
  <c r="AJ75"/>
  <c r="AN75"/>
  <c r="AT75"/>
  <c r="AI175"/>
  <c r="AR175"/>
  <c r="AL175"/>
  <c r="AN175"/>
  <c r="AJ175"/>
  <c r="AT175"/>
  <c r="AI147"/>
  <c r="AR147"/>
  <c r="AL147"/>
  <c r="AN147"/>
  <c r="AJ147"/>
  <c r="AT147"/>
  <c r="AI84"/>
  <c r="AR84"/>
  <c r="AL84"/>
  <c r="AN84"/>
  <c r="AJ84"/>
  <c r="AT84"/>
  <c r="AI155"/>
  <c r="AR155"/>
  <c r="AL155"/>
  <c r="AN155"/>
  <c r="AJ155"/>
  <c r="AT155"/>
  <c r="AF187"/>
  <c r="AQ187"/>
  <c r="AP187"/>
  <c r="AF175"/>
  <c r="AP175"/>
  <c r="AQ175"/>
  <c r="AF155"/>
  <c r="AP155"/>
  <c r="AQ155"/>
  <c r="AF148"/>
  <c r="AP148"/>
  <c r="AQ148"/>
  <c r="AQ31"/>
  <c r="AP31"/>
  <c r="AQ43"/>
  <c r="AP43"/>
  <c r="AP63"/>
  <c r="AQ63"/>
  <c r="AP96"/>
  <c r="AQ96"/>
  <c r="AP15"/>
  <c r="AQ15"/>
  <c r="AP7"/>
  <c r="AQ7"/>
  <c r="Z198"/>
  <c r="AP75"/>
  <c r="AQ75"/>
  <c r="AP84"/>
  <c r="AQ84"/>
  <c r="AF31"/>
  <c r="AF43"/>
  <c r="AF63"/>
  <c r="AF96"/>
  <c r="AF15"/>
  <c r="AF7"/>
  <c r="AF75"/>
  <c r="AF84"/>
  <c r="AX199" l="1"/>
  <c r="AV199"/>
  <c r="AP198"/>
  <c r="AJ198"/>
  <c r="AV201" s="1"/>
  <c r="AR198"/>
  <c r="AI198"/>
  <c r="AI200" s="1"/>
  <c r="AQ198"/>
  <c r="AN198"/>
  <c r="AN200" s="1"/>
  <c r="AL198"/>
  <c r="AT198"/>
  <c r="AT200" s="1"/>
  <c r="AL200" l="1"/>
  <c r="AP200"/>
  <c r="AR200"/>
  <c r="AX201"/>
</calcChain>
</file>

<file path=xl/sharedStrings.xml><?xml version="1.0" encoding="utf-8"?>
<sst xmlns="http://schemas.openxmlformats.org/spreadsheetml/2006/main" count="1614" uniqueCount="280">
  <si>
    <t>PR</t>
  </si>
  <si>
    <t>Status</t>
  </si>
  <si>
    <t>Afghanistan</t>
  </si>
  <si>
    <t>PF</t>
  </si>
  <si>
    <t>NF</t>
  </si>
  <si>
    <t>Albania</t>
  </si>
  <si>
    <t>Algeria</t>
  </si>
  <si>
    <t>Andorra</t>
  </si>
  <si>
    <t>F</t>
  </si>
  <si>
    <t>Angola</t>
  </si>
  <si>
    <t>Argentina</t>
  </si>
  <si>
    <t>Armenia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</si>
  <si>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</si>
  <si>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</si>
  <si>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</si>
  <si>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</si>
  <si>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</si>
  <si>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</si>
  <si>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</si>
  <si>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</si>
  <si>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</si>
  <si>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</si>
  <si>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</si>
  <si>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</si>
  <si>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</si>
  <si>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Bosnia-Herzegovina</t>
  </si>
  <si>
    <t>Botswana</t>
  </si>
  <si>
    <t>Brazil</t>
  </si>
  <si>
    <t>Brunei</t>
  </si>
  <si>
    <t>Bulgaria</t>
  </si>
  <si>
    <t>Burkina Faso</t>
  </si>
  <si>
    <t>Burma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</si>
  <si>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</si>
  <si>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</si>
  <si>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</si>
  <si>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</si>
  <si>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</si>
  <si>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</si>
  <si>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</si>
  <si>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</si>
  <si>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</si>
  <si>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</si>
  <si>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</si>
  <si>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Congo (Brazzaville)</t>
  </si>
  <si>
    <t>Congo (Kinshasa)</t>
  </si>
  <si>
    <t>Costa Rica</t>
  </si>
  <si>
    <t>Croatia</t>
  </si>
  <si>
    <t>Cuba</t>
  </si>
  <si>
    <t>Czech Republic</t>
  </si>
  <si>
    <t>Denmark</t>
  </si>
  <si>
    <t>Djibouti</t>
  </si>
  <si>
    <t>Dominica</t>
  </si>
  <si>
    <t>Dominican Republic</t>
  </si>
  <si>
    <t>East Timor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</si>
  <si>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</si>
  <si>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</si>
  <si>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</si>
  <si>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</si>
  <si>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</si>
  <si>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</si>
  <si>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</si>
  <si>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</si>
  <si>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</si>
  <si>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</si>
  <si>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</si>
  <si>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Gambia, The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</si>
  <si>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</si>
  <si>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</si>
  <si>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</si>
  <si>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</si>
  <si>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</si>
  <si>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</si>
  <si>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</si>
  <si>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</si>
  <si>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</si>
  <si>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</si>
  <si>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Honduras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</si>
  <si>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</si>
  <si>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</si>
  <si>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</si>
  <si>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</si>
  <si>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</si>
  <si>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</si>
  <si>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</si>
  <si>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</si>
  <si>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</si>
  <si>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</si>
  <si>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</si>
  <si>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</si>
  <si>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</si>
  <si>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</si>
  <si>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</si>
  <si>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</si>
  <si>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</si>
  <si>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</si>
  <si>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</si>
  <si>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</si>
  <si>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</si>
  <si>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</si>
  <si>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</si>
  <si>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</si>
  <si>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</si>
  <si>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</si>
  <si>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</si>
  <si>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</si>
  <si>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</si>
  <si>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</si>
  <si>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</si>
  <si>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</si>
  <si>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</si>
  <si>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</si>
  <si>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</si>
  <si>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</si>
  <si>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</si>
  <si>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</t>
  </si>
  <si>
    <t>Moldova</t>
  </si>
  <si>
    <t>Monaco</t>
  </si>
  <si>
    <t>Mongolia</t>
  </si>
  <si>
    <t>Morocco</t>
  </si>
  <si>
    <t>Mozambique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</si>
  <si>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</si>
  <si>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</si>
  <si>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</si>
  <si>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</si>
  <si>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</si>
  <si>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</si>
  <si>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</si>
  <si>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</si>
  <si>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North Korea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</si>
  <si>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</si>
  <si>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</si>
  <si>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</si>
  <si>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</si>
  <si>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</si>
  <si>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</si>
  <si>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</si>
  <si>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</si>
  <si>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</si>
  <si>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</si>
  <si>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</si>
  <si>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</si>
  <si>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Romania</t>
  </si>
  <si>
    <t>Russia</t>
  </si>
  <si>
    <t>Rwanda</t>
  </si>
  <si>
    <t>Samoa</t>
  </si>
  <si>
    <t>San Marino</t>
  </si>
  <si>
    <t>Saudi Arabia</t>
  </si>
  <si>
    <t>Senegal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</si>
  <si>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</si>
  <si>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</si>
  <si>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</si>
  <si>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</si>
  <si>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</si>
  <si>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</si>
  <si>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</si>
  <si>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</si>
  <si>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Korea</t>
  </si>
  <si>
    <t>Spain</t>
  </si>
  <si>
    <t>Sri Lanka</t>
  </si>
  <si>
    <t>St. Lucia</t>
  </si>
  <si>
    <t>Sudan</t>
  </si>
  <si>
    <t>Suriname</t>
  </si>
  <si>
    <t>Swaziland</t>
  </si>
  <si>
    <t>Sweden</t>
  </si>
  <si>
    <t>Switzerland</t>
  </si>
  <si>
    <t>Syria</t>
  </si>
  <si>
    <t>Taiwan</t>
  </si>
  <si>
    <t>Tajikistan</t>
  </si>
  <si>
    <t>Tanzania</t>
  </si>
  <si>
    <t>Thailand</t>
  </si>
  <si>
    <t>Togo</t>
  </si>
  <si>
    <t>Tonga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</si>
  <si>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</si>
  <si>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</si>
  <si>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</si>
  <si>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</si>
  <si>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</si>
  <si>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</si>
  <si>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</si>
  <si>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Kingdom</t>
  </si>
  <si>
    <t>United States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</si>
  <si>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</si>
  <si>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</si>
  <si>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</si>
  <si>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</si>
  <si>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</si>
  <si>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</si>
  <si>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</si>
  <si>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</si>
  <si>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>Sao Tome &amp; Principe</t>
  </si>
  <si>
    <t>St. Kitts &amp; Nevis</t>
  </si>
  <si>
    <t>St. Vincent &amp; Grenadines</t>
  </si>
  <si>
    <t>Trinidad &amp; Tobago</t>
  </si>
  <si>
    <t>Antigua &amp; Barbuda</t>
  </si>
  <si>
    <t>Montenegro</t>
  </si>
  <si>
    <t>Serbia</t>
  </si>
  <si>
    <t>Cote d'Ivoire</t>
  </si>
  <si>
    <t>CL</t>
  </si>
  <si>
    <t>Kosovo</t>
  </si>
  <si>
    <t>Cyprus</t>
  </si>
  <si>
    <t>GINI</t>
  </si>
  <si>
    <t>q_nation</t>
  </si>
  <si>
    <t>q_ind</t>
  </si>
  <si>
    <t>q_tradition</t>
  </si>
  <si>
    <t>u_democracy</t>
  </si>
  <si>
    <t>q_freedom</t>
  </si>
  <si>
    <t>STREnGH</t>
  </si>
  <si>
    <t>income10%</t>
  </si>
  <si>
    <t>IMF</t>
  </si>
  <si>
    <t>q_WORLD</t>
  </si>
  <si>
    <t>fairness</t>
  </si>
  <si>
    <t>u_freedom</t>
  </si>
  <si>
    <t>u_individual</t>
  </si>
  <si>
    <t>u_debt</t>
  </si>
  <si>
    <t>u_gpd</t>
  </si>
  <si>
    <t>u_nation</t>
  </si>
  <si>
    <t>u_trade</t>
  </si>
  <si>
    <t>u_global</t>
  </si>
  <si>
    <t>freedom  index</t>
  </si>
  <si>
    <t>u_HDI</t>
  </si>
  <si>
    <t>size milion</t>
  </si>
  <si>
    <t>uneploymnet%</t>
  </si>
  <si>
    <t>poverty%</t>
  </si>
  <si>
    <t>un</t>
  </si>
  <si>
    <t>democracy</t>
  </si>
  <si>
    <t>UN</t>
  </si>
  <si>
    <t>fairness*u_hdi</t>
  </si>
  <si>
    <t>* when income 10% is not known: q_individual=q_tradition</t>
  </si>
  <si>
    <t xml:space="preserve">* tradition: traditionaly tribal &amp; monarch societies, former empires and former communist nations: + 25/100 (about)  </t>
  </si>
  <si>
    <t xml:space="preserve">* when u_trade is not known (without conflicts): u_global=0.1 </t>
  </si>
  <si>
    <t>* when HDI is unknown, an estimation is used based on the freedom index of nations with known HDI (in red purple)</t>
  </si>
  <si>
    <t>relevance</t>
  </si>
  <si>
    <t>* fairness larger than one is considered like 1</t>
  </si>
  <si>
    <t>region</t>
  </si>
  <si>
    <t>* un = unknon</t>
  </si>
  <si>
    <t>* when Gini is unknown, u_individul=u_HDI</t>
  </si>
  <si>
    <t>* when u_gdp and/or u_debt are unknow, u_nation is composed from u_democracy and any other indicator among these that is known</t>
  </si>
  <si>
    <t xml:space="preserve">* democracy index in red purple font is an estimation based on the freedom index of nations with known democracy index  </t>
  </si>
  <si>
    <t>in green: external presure from the world nations</t>
  </si>
  <si>
    <t>in red: internal war</t>
  </si>
  <si>
    <t>in purple: great powers</t>
  </si>
  <si>
    <t>c_1/T_twd_1</t>
  </si>
  <si>
    <t>c_1</t>
  </si>
  <si>
    <t>T_twd_1</t>
  </si>
  <si>
    <t>in light blue: europe</t>
  </si>
  <si>
    <t xml:space="preserve">in light purple: africa </t>
  </si>
  <si>
    <t>light red: south america</t>
  </si>
  <si>
    <t>in yellow: asia</t>
  </si>
  <si>
    <t>in blue: important cases</t>
  </si>
  <si>
    <t>fairness^2</t>
  </si>
  <si>
    <t>u_hdi^2</t>
  </si>
  <si>
    <t>correlation fairness and u_hdi</t>
  </si>
  <si>
    <t>fairness*democarcy</t>
  </si>
  <si>
    <t>democarcy^2</t>
  </si>
  <si>
    <t>corrleation</t>
  </si>
  <si>
    <t>fainess</t>
  </si>
  <si>
    <t>and democaracy</t>
  </si>
  <si>
    <t>fairness*q_freedom</t>
  </si>
  <si>
    <t>q_freedom^2</t>
  </si>
  <si>
    <t>correlation</t>
  </si>
  <si>
    <t>and q_freedom</t>
  </si>
  <si>
    <t>fairness*c_1</t>
  </si>
  <si>
    <t>c_1^2</t>
  </si>
  <si>
    <t>fairness*size</t>
  </si>
  <si>
    <t>size^2</t>
  </si>
  <si>
    <t>fairness*q_in</t>
  </si>
  <si>
    <t>q_in^2</t>
  </si>
  <si>
    <t>c_1 and fairness</t>
  </si>
  <si>
    <t>WEAK</t>
  </si>
  <si>
    <t>LARGE</t>
  </si>
  <si>
    <t>INTERMEDIATE</t>
  </si>
  <si>
    <t>correlations</t>
  </si>
  <si>
    <t>size &amp; fairness</t>
  </si>
  <si>
    <t>fairness &amp;q_in</t>
  </si>
  <si>
    <t>fairness*poverty</t>
  </si>
  <si>
    <t xml:space="preserve">poverty </t>
  </si>
  <si>
    <t>fairness and poverty</t>
  </si>
  <si>
    <t>fairness*Gini</t>
  </si>
  <si>
    <t>gini^2</t>
  </si>
  <si>
    <t>fairness and gini</t>
  </si>
</sst>
</file>

<file path=xl/styles.xml><?xml version="1.0" encoding="utf-8"?>
<styleSheet xmlns="http://schemas.openxmlformats.org/spreadsheetml/2006/main">
  <fonts count="18">
    <font>
      <sz val="10"/>
      <name val="Arial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i/>
      <sz val="8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C00000"/>
      <name val="Times New Roman"/>
      <family val="1"/>
    </font>
    <font>
      <b/>
      <sz val="11"/>
      <color rgb="FFC00000"/>
      <name val="Times New Roman"/>
      <family val="1"/>
    </font>
    <font>
      <sz val="8"/>
      <color theme="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1" fillId="0" borderId="0" xfId="0" applyFont="1"/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Fill="1" applyBorder="1"/>
    <xf numFmtId="0" fontId="3" fillId="0" borderId="0" xfId="0" applyFont="1" applyBorder="1"/>
    <xf numFmtId="0" fontId="3" fillId="0" borderId="0" xfId="0" applyFont="1" applyBorder="1" applyAlignment="1"/>
    <xf numFmtId="0" fontId="1" fillId="0" borderId="0" xfId="0" applyFont="1" applyBorder="1" applyAlignment="1"/>
    <xf numFmtId="0" fontId="1" fillId="0" borderId="0" xfId="0" applyFont="1" applyFill="1" applyBorder="1" applyAlignment="1"/>
    <xf numFmtId="0" fontId="5" fillId="0" borderId="0" xfId="0" applyFont="1" applyBorder="1"/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7" fillId="0" borderId="0" xfId="0" applyFont="1" applyBorder="1"/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6" fillId="0" borderId="2" xfId="0" applyFont="1" applyFill="1" applyBorder="1" applyAlignment="1">
      <alignment vertical="top"/>
    </xf>
    <xf numFmtId="0" fontId="6" fillId="0" borderId="2" xfId="0" applyFont="1" applyFill="1" applyBorder="1" applyAlignment="1"/>
    <xf numFmtId="0" fontId="8" fillId="0" borderId="0" xfId="0" applyFont="1" applyFill="1" applyBorder="1"/>
    <xf numFmtId="0" fontId="8" fillId="0" borderId="0" xfId="0" applyFont="1" applyBorder="1"/>
    <xf numFmtId="0" fontId="6" fillId="2" borderId="11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7" fillId="3" borderId="4" xfId="0" applyFont="1" applyFill="1" applyBorder="1" applyAlignment="1">
      <alignment horizontal="center" vertical="center"/>
    </xf>
    <xf numFmtId="0" fontId="7" fillId="3" borderId="0" xfId="0" applyFont="1" applyFill="1" applyBorder="1"/>
    <xf numFmtId="0" fontId="6" fillId="3" borderId="2" xfId="0" applyFont="1" applyFill="1" applyBorder="1" applyAlignment="1">
      <alignment vertical="top"/>
    </xf>
    <xf numFmtId="0" fontId="7" fillId="3" borderId="5" xfId="0" applyFont="1" applyFill="1" applyBorder="1" applyAlignment="1">
      <alignment horizontal="center" vertical="center"/>
    </xf>
    <xf numFmtId="0" fontId="9" fillId="0" borderId="0" xfId="0" applyFont="1" applyBorder="1"/>
    <xf numFmtId="9" fontId="9" fillId="0" borderId="0" xfId="0" applyNumberFormat="1" applyFont="1" applyBorder="1"/>
    <xf numFmtId="0" fontId="7" fillId="0" borderId="0" xfId="0" applyNumberFormat="1" applyFont="1" applyFill="1" applyBorder="1"/>
    <xf numFmtId="0" fontId="1" fillId="3" borderId="0" xfId="0" applyFont="1" applyFill="1"/>
    <xf numFmtId="0" fontId="9" fillId="3" borderId="0" xfId="0" applyFont="1" applyFill="1" applyBorder="1"/>
    <xf numFmtId="0" fontId="8" fillId="3" borderId="0" xfId="0" applyFont="1" applyFill="1" applyBorder="1"/>
    <xf numFmtId="0" fontId="1" fillId="3" borderId="0" xfId="0" applyFont="1" applyFill="1" applyBorder="1"/>
    <xf numFmtId="0" fontId="1" fillId="3" borderId="0" xfId="0" applyFont="1" applyFill="1" applyBorder="1" applyAlignment="1"/>
    <xf numFmtId="0" fontId="6" fillId="4" borderId="2" xfId="0" applyFont="1" applyFill="1" applyBorder="1" applyAlignment="1">
      <alignment vertical="top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0" xfId="0" applyFont="1" applyFill="1" applyBorder="1"/>
    <xf numFmtId="9" fontId="9" fillId="3" borderId="0" xfId="0" applyNumberFormat="1" applyFont="1" applyFill="1" applyBorder="1"/>
    <xf numFmtId="0" fontId="10" fillId="3" borderId="0" xfId="0" applyFont="1" applyFill="1" applyBorder="1"/>
    <xf numFmtId="0" fontId="6" fillId="5" borderId="2" xfId="0" applyFont="1" applyFill="1" applyBorder="1" applyAlignment="1">
      <alignment vertical="top"/>
    </xf>
    <xf numFmtId="0" fontId="7" fillId="5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0" xfId="0" applyFont="1" applyFill="1" applyBorder="1"/>
    <xf numFmtId="0" fontId="6" fillId="6" borderId="2" xfId="0" applyFont="1" applyFill="1" applyBorder="1" applyAlignment="1">
      <alignment vertical="top"/>
    </xf>
    <xf numFmtId="0" fontId="7" fillId="6" borderId="4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0" xfId="0" applyFont="1" applyFill="1" applyBorder="1"/>
    <xf numFmtId="0" fontId="6" fillId="7" borderId="2" xfId="0" applyFont="1" applyFill="1" applyBorder="1" applyAlignment="1">
      <alignment vertical="top"/>
    </xf>
    <xf numFmtId="0" fontId="7" fillId="7" borderId="4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7" borderId="0" xfId="0" applyFont="1" applyFill="1" applyBorder="1"/>
    <xf numFmtId="0" fontId="6" fillId="8" borderId="2" xfId="0" applyFont="1" applyFill="1" applyBorder="1" applyAlignment="1">
      <alignment vertical="top"/>
    </xf>
    <xf numFmtId="0" fontId="7" fillId="8" borderId="4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7" fillId="8" borderId="0" xfId="0" applyFont="1" applyFill="1" applyBorder="1"/>
    <xf numFmtId="0" fontId="6" fillId="9" borderId="2" xfId="0" applyFont="1" applyFill="1" applyBorder="1" applyAlignment="1">
      <alignment vertical="top"/>
    </xf>
    <xf numFmtId="0" fontId="7" fillId="9" borderId="4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7" fillId="9" borderId="0" xfId="0" applyFont="1" applyFill="1" applyBorder="1"/>
    <xf numFmtId="0" fontId="7" fillId="10" borderId="0" xfId="0" applyFont="1" applyFill="1" applyBorder="1"/>
    <xf numFmtId="0" fontId="6" fillId="11" borderId="2" xfId="0" applyFont="1" applyFill="1" applyBorder="1" applyAlignment="1">
      <alignment vertical="top"/>
    </xf>
    <xf numFmtId="0" fontId="7" fillId="11" borderId="4" xfId="0" applyFont="1" applyFill="1" applyBorder="1" applyAlignment="1">
      <alignment horizontal="center" vertical="center"/>
    </xf>
    <xf numFmtId="0" fontId="7" fillId="11" borderId="5" xfId="0" applyFont="1" applyFill="1" applyBorder="1" applyAlignment="1">
      <alignment horizontal="center" vertical="center"/>
    </xf>
    <xf numFmtId="0" fontId="7" fillId="11" borderId="0" xfId="0" applyFont="1" applyFill="1" applyBorder="1"/>
    <xf numFmtId="0" fontId="6" fillId="12" borderId="2" xfId="0" applyFont="1" applyFill="1" applyBorder="1" applyAlignment="1">
      <alignment vertical="top"/>
    </xf>
    <xf numFmtId="0" fontId="7" fillId="12" borderId="4" xfId="0" applyFont="1" applyFill="1" applyBorder="1" applyAlignment="1">
      <alignment horizontal="center" vertical="center"/>
    </xf>
    <xf numFmtId="0" fontId="7" fillId="12" borderId="5" xfId="0" applyFont="1" applyFill="1" applyBorder="1" applyAlignment="1">
      <alignment horizontal="center" vertical="center"/>
    </xf>
    <xf numFmtId="0" fontId="7" fillId="12" borderId="0" xfId="0" applyFont="1" applyFill="1" applyBorder="1"/>
    <xf numFmtId="0" fontId="6" fillId="13" borderId="2" xfId="0" applyFont="1" applyFill="1" applyBorder="1" applyAlignment="1">
      <alignment vertical="top"/>
    </xf>
    <xf numFmtId="0" fontId="7" fillId="13" borderId="4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3" borderId="0" xfId="0" applyFont="1" applyFill="1" applyBorder="1"/>
    <xf numFmtId="0" fontId="7" fillId="14" borderId="0" xfId="0" applyFont="1" applyFill="1" applyBorder="1"/>
    <xf numFmtId="0" fontId="6" fillId="15" borderId="2" xfId="0" applyFont="1" applyFill="1" applyBorder="1" applyAlignment="1">
      <alignment vertical="top"/>
    </xf>
    <xf numFmtId="0" fontId="7" fillId="15" borderId="4" xfId="0" applyFont="1" applyFill="1" applyBorder="1" applyAlignment="1">
      <alignment horizontal="center" vertical="center"/>
    </xf>
    <xf numFmtId="0" fontId="7" fillId="15" borderId="5" xfId="0" applyFont="1" applyFill="1" applyBorder="1" applyAlignment="1">
      <alignment horizontal="center" vertical="center"/>
    </xf>
    <xf numFmtId="0" fontId="7" fillId="15" borderId="0" xfId="0" applyFont="1" applyFill="1" applyBorder="1"/>
    <xf numFmtId="0" fontId="7" fillId="16" borderId="0" xfId="0" applyFont="1" applyFill="1" applyBorder="1"/>
    <xf numFmtId="0" fontId="8" fillId="5" borderId="0" xfId="0" applyFont="1" applyFill="1" applyBorder="1"/>
    <xf numFmtId="0" fontId="8" fillId="13" borderId="0" xfId="0" applyFont="1" applyFill="1" applyBorder="1"/>
    <xf numFmtId="0" fontId="4" fillId="5" borderId="1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/>
    </xf>
    <xf numFmtId="0" fontId="6" fillId="5" borderId="6" xfId="0" applyFont="1" applyFill="1" applyBorder="1" applyAlignment="1">
      <alignment horizontal="left" vertical="center"/>
    </xf>
    <xf numFmtId="0" fontId="1" fillId="15" borderId="0" xfId="0" applyFont="1" applyFill="1" applyBorder="1"/>
    <xf numFmtId="0" fontId="9" fillId="7" borderId="0" xfId="0" applyFont="1" applyFill="1" applyBorder="1"/>
    <xf numFmtId="0" fontId="1" fillId="7" borderId="0" xfId="0" applyFont="1" applyFill="1" applyBorder="1"/>
    <xf numFmtId="0" fontId="1" fillId="7" borderId="0" xfId="0" applyFont="1" applyFill="1" applyBorder="1" applyAlignment="1"/>
    <xf numFmtId="0" fontId="1" fillId="7" borderId="0" xfId="0" applyFont="1" applyFill="1"/>
    <xf numFmtId="0" fontId="5" fillId="14" borderId="0" xfId="0" applyFont="1" applyFill="1" applyBorder="1"/>
    <xf numFmtId="0" fontId="8" fillId="14" borderId="0" xfId="0" applyFont="1" applyFill="1" applyBorder="1"/>
    <xf numFmtId="0" fontId="1" fillId="14" borderId="0" xfId="0" applyFont="1" applyFill="1" applyBorder="1"/>
    <xf numFmtId="0" fontId="1" fillId="14" borderId="0" xfId="0" applyFont="1" applyFill="1"/>
    <xf numFmtId="0" fontId="7" fillId="17" borderId="0" xfId="0" applyFont="1" applyFill="1" applyBorder="1"/>
    <xf numFmtId="0" fontId="6" fillId="18" borderId="2" xfId="0" applyFont="1" applyFill="1" applyBorder="1" applyAlignment="1">
      <alignment vertical="top"/>
    </xf>
    <xf numFmtId="0" fontId="7" fillId="18" borderId="4" xfId="0" applyFont="1" applyFill="1" applyBorder="1" applyAlignment="1">
      <alignment horizontal="center" vertical="center"/>
    </xf>
    <xf numFmtId="0" fontId="7" fillId="18" borderId="5" xfId="0" applyFont="1" applyFill="1" applyBorder="1" applyAlignment="1">
      <alignment horizontal="center" vertical="center"/>
    </xf>
    <xf numFmtId="0" fontId="7" fillId="18" borderId="0" xfId="0" applyFont="1" applyFill="1" applyBorder="1"/>
    <xf numFmtId="0" fontId="7" fillId="19" borderId="0" xfId="0" applyFont="1" applyFill="1" applyBorder="1"/>
    <xf numFmtId="0" fontId="7" fillId="20" borderId="0" xfId="0" applyFont="1" applyFill="1" applyBorder="1"/>
    <xf numFmtId="0" fontId="11" fillId="20" borderId="2" xfId="0" applyFont="1" applyFill="1" applyBorder="1" applyAlignment="1">
      <alignment vertical="top"/>
    </xf>
    <xf numFmtId="0" fontId="12" fillId="20" borderId="4" xfId="0" applyFont="1" applyFill="1" applyBorder="1" applyAlignment="1">
      <alignment horizontal="center" vertical="center"/>
    </xf>
    <xf numFmtId="0" fontId="12" fillId="20" borderId="5" xfId="0" applyFont="1" applyFill="1" applyBorder="1" applyAlignment="1">
      <alignment horizontal="center" vertical="center"/>
    </xf>
    <xf numFmtId="0" fontId="12" fillId="20" borderId="0" xfId="0" applyFont="1" applyFill="1" applyBorder="1"/>
    <xf numFmtId="0" fontId="7" fillId="6" borderId="0" xfId="0" applyNumberFormat="1" applyFont="1" applyFill="1" applyBorder="1"/>
    <xf numFmtId="0" fontId="7" fillId="21" borderId="0" xfId="0" applyFont="1" applyFill="1" applyBorder="1"/>
    <xf numFmtId="0" fontId="13" fillId="0" borderId="0" xfId="0" applyFont="1" applyFill="1" applyBorder="1"/>
    <xf numFmtId="0" fontId="14" fillId="0" borderId="0" xfId="0" applyFont="1" applyFill="1" applyBorder="1"/>
    <xf numFmtId="0" fontId="14" fillId="3" borderId="0" xfId="0" applyFont="1" applyFill="1" applyBorder="1"/>
    <xf numFmtId="0" fontId="13" fillId="12" borderId="0" xfId="0" applyFont="1" applyFill="1" applyBorder="1"/>
    <xf numFmtId="0" fontId="6" fillId="22" borderId="2" xfId="0" applyFont="1" applyFill="1" applyBorder="1" applyAlignment="1">
      <alignment vertical="top"/>
    </xf>
    <xf numFmtId="0" fontId="7" fillId="22" borderId="4" xfId="0" applyFont="1" applyFill="1" applyBorder="1" applyAlignment="1">
      <alignment horizontal="center" vertical="center"/>
    </xf>
    <xf numFmtId="0" fontId="7" fillId="22" borderId="5" xfId="0" applyFont="1" applyFill="1" applyBorder="1" applyAlignment="1">
      <alignment horizontal="center" vertical="center"/>
    </xf>
    <xf numFmtId="0" fontId="7" fillId="22" borderId="0" xfId="0" applyFont="1" applyFill="1" applyBorder="1"/>
    <xf numFmtId="0" fontId="6" fillId="21" borderId="2" xfId="0" applyFont="1" applyFill="1" applyBorder="1" applyAlignment="1">
      <alignment vertical="top"/>
    </xf>
    <xf numFmtId="0" fontId="7" fillId="21" borderId="4" xfId="0" applyFont="1" applyFill="1" applyBorder="1" applyAlignment="1">
      <alignment horizontal="center" vertical="center"/>
    </xf>
    <xf numFmtId="0" fontId="7" fillId="21" borderId="5" xfId="0" applyFont="1" applyFill="1" applyBorder="1" applyAlignment="1">
      <alignment horizontal="center" vertical="center"/>
    </xf>
    <xf numFmtId="0" fontId="6" fillId="23" borderId="2" xfId="0" applyFont="1" applyFill="1" applyBorder="1" applyAlignment="1">
      <alignment vertical="top"/>
    </xf>
    <xf numFmtId="0" fontId="7" fillId="23" borderId="4" xfId="0" applyFont="1" applyFill="1" applyBorder="1" applyAlignment="1">
      <alignment horizontal="center" vertical="center"/>
    </xf>
    <xf numFmtId="0" fontId="7" fillId="23" borderId="5" xfId="0" applyFont="1" applyFill="1" applyBorder="1" applyAlignment="1">
      <alignment horizontal="center" vertical="center"/>
    </xf>
    <xf numFmtId="0" fontId="7" fillId="23" borderId="0" xfId="0" applyFont="1" applyFill="1" applyBorder="1"/>
    <xf numFmtId="0" fontId="7" fillId="3" borderId="0" xfId="0" applyNumberFormat="1" applyFont="1" applyFill="1" applyBorder="1"/>
    <xf numFmtId="0" fontId="12" fillId="0" borderId="0" xfId="0" applyFont="1" applyFill="1" applyBorder="1"/>
    <xf numFmtId="0" fontId="7" fillId="24" borderId="0" xfId="0" applyFont="1" applyFill="1" applyBorder="1"/>
    <xf numFmtId="0" fontId="7" fillId="7" borderId="0" xfId="0" applyNumberFormat="1" applyFont="1" applyFill="1" applyBorder="1"/>
    <xf numFmtId="0" fontId="6" fillId="24" borderId="2" xfId="0" applyFont="1" applyFill="1" applyBorder="1" applyAlignment="1">
      <alignment vertical="top"/>
    </xf>
    <xf numFmtId="0" fontId="7" fillId="24" borderId="4" xfId="0" applyFont="1" applyFill="1" applyBorder="1" applyAlignment="1">
      <alignment horizontal="center" vertical="center"/>
    </xf>
    <xf numFmtId="0" fontId="7" fillId="24" borderId="5" xfId="0" applyFont="1" applyFill="1" applyBorder="1" applyAlignment="1">
      <alignment horizontal="center" vertical="center"/>
    </xf>
    <xf numFmtId="0" fontId="14" fillId="22" borderId="0" xfId="0" applyFont="1" applyFill="1" applyBorder="1"/>
    <xf numFmtId="0" fontId="7" fillId="25" borderId="0" xfId="0" applyFont="1" applyFill="1" applyBorder="1"/>
    <xf numFmtId="0" fontId="12" fillId="20" borderId="0" xfId="0" applyNumberFormat="1" applyFont="1" applyFill="1" applyBorder="1"/>
    <xf numFmtId="0" fontId="12" fillId="6" borderId="0" xfId="0" applyFont="1" applyFill="1" applyBorder="1"/>
    <xf numFmtId="0" fontId="8" fillId="6" borderId="0" xfId="0" applyFont="1" applyFill="1" applyBorder="1"/>
    <xf numFmtId="0" fontId="12" fillId="8" borderId="0" xfId="0" applyFont="1" applyFill="1" applyBorder="1"/>
    <xf numFmtId="0" fontId="8" fillId="21" borderId="0" xfId="0" applyFont="1" applyFill="1" applyBorder="1"/>
    <xf numFmtId="0" fontId="6" fillId="21" borderId="2" xfId="0" applyFont="1" applyFill="1" applyBorder="1" applyAlignment="1"/>
    <xf numFmtId="0" fontId="14" fillId="13" borderId="0" xfId="0" applyFont="1" applyFill="1" applyBorder="1"/>
    <xf numFmtId="0" fontId="6" fillId="13" borderId="0" xfId="0" applyFont="1" applyFill="1" applyBorder="1"/>
    <xf numFmtId="0" fontId="6" fillId="13" borderId="2" xfId="0" applyFont="1" applyFill="1" applyBorder="1" applyAlignment="1"/>
    <xf numFmtId="0" fontId="3" fillId="25" borderId="0" xfId="0" applyFont="1" applyFill="1" applyBorder="1"/>
    <xf numFmtId="0" fontId="1" fillId="25" borderId="0" xfId="0" applyFont="1" applyFill="1" applyBorder="1"/>
    <xf numFmtId="0" fontId="7" fillId="12" borderId="0" xfId="0" applyNumberFormat="1" applyFont="1" applyFill="1" applyBorder="1"/>
    <xf numFmtId="0" fontId="1" fillId="8" borderId="0" xfId="0" applyFont="1" applyFill="1" applyBorder="1"/>
    <xf numFmtId="0" fontId="12" fillId="17" borderId="0" xfId="0" applyFont="1" applyFill="1" applyBorder="1"/>
    <xf numFmtId="0" fontId="5" fillId="7" borderId="0" xfId="0" applyFont="1" applyFill="1" applyBorder="1"/>
    <xf numFmtId="0" fontId="12" fillId="7" borderId="0" xfId="0" applyFont="1" applyFill="1" applyBorder="1"/>
    <xf numFmtId="0" fontId="1" fillId="25" borderId="0" xfId="0" applyFont="1" applyFill="1" applyBorder="1" applyAlignment="1"/>
    <xf numFmtId="0" fontId="0" fillId="25" borderId="0" xfId="0" applyFill="1"/>
    <xf numFmtId="0" fontId="2" fillId="25" borderId="0" xfId="0" applyFont="1" applyFill="1" applyBorder="1"/>
    <xf numFmtId="0" fontId="2" fillId="8" borderId="0" xfId="0" applyFont="1" applyFill="1" applyBorder="1"/>
    <xf numFmtId="0" fontId="3" fillId="8" borderId="0" xfId="0" applyFont="1" applyFill="1" applyBorder="1"/>
    <xf numFmtId="0" fontId="2" fillId="7" borderId="0" xfId="0" applyFont="1" applyFill="1" applyBorder="1"/>
    <xf numFmtId="0" fontId="5" fillId="16" borderId="0" xfId="0" applyFont="1" applyFill="1" applyBorder="1"/>
    <xf numFmtId="0" fontId="1" fillId="16" borderId="0" xfId="0" applyFont="1" applyFill="1" applyBorder="1"/>
    <xf numFmtId="0" fontId="2" fillId="16" borderId="0" xfId="0" applyFont="1" applyFill="1" applyBorder="1"/>
    <xf numFmtId="0" fontId="15" fillId="17" borderId="0" xfId="0" applyFont="1" applyFill="1" applyBorder="1"/>
    <xf numFmtId="0" fontId="12" fillId="19" borderId="0" xfId="0" applyFont="1" applyFill="1" applyBorder="1"/>
    <xf numFmtId="0" fontId="1" fillId="19" borderId="0" xfId="0" applyFont="1" applyFill="1" applyBorder="1"/>
    <xf numFmtId="0" fontId="2" fillId="19" borderId="0" xfId="0" applyFont="1" applyFill="1" applyBorder="1"/>
    <xf numFmtId="0" fontId="2" fillId="3" borderId="0" xfId="0" applyFont="1" applyFill="1" applyBorder="1"/>
    <xf numFmtId="0" fontId="16" fillId="17" borderId="0" xfId="0" applyFont="1" applyFill="1" applyBorder="1"/>
    <xf numFmtId="0" fontId="6" fillId="25" borderId="7" xfId="0" applyFont="1" applyFill="1" applyBorder="1" applyAlignment="1">
      <alignment vertical="top"/>
    </xf>
    <xf numFmtId="0" fontId="6" fillId="25" borderId="2" xfId="0" applyFont="1" applyFill="1" applyBorder="1" applyAlignment="1">
      <alignment vertical="top"/>
    </xf>
    <xf numFmtId="0" fontId="6" fillId="25" borderId="2" xfId="0" applyFont="1" applyFill="1" applyBorder="1" applyAlignment="1"/>
    <xf numFmtId="0" fontId="6" fillId="25" borderId="9" xfId="0" applyFont="1" applyFill="1" applyBorder="1" applyAlignment="1">
      <alignment vertical="top"/>
    </xf>
    <xf numFmtId="0" fontId="17" fillId="25" borderId="0" xfId="0" applyFont="1" applyFill="1"/>
    <xf numFmtId="0" fontId="4" fillId="25" borderId="1" xfId="0" applyFont="1" applyFill="1" applyBorder="1" applyAlignment="1">
      <alignment horizontal="left" vertical="center"/>
    </xf>
    <xf numFmtId="0" fontId="9" fillId="25" borderId="0" xfId="0" applyFont="1" applyFill="1" applyBorder="1"/>
    <xf numFmtId="9" fontId="9" fillId="25" borderId="0" xfId="0" applyNumberFormat="1" applyFont="1" applyFill="1" applyBorder="1"/>
    <xf numFmtId="0" fontId="10" fillId="25" borderId="0" xfId="0" applyFont="1" applyFill="1" applyBorder="1"/>
    <xf numFmtId="0" fontId="6" fillId="25" borderId="2" xfId="0" applyFont="1" applyFill="1" applyBorder="1" applyAlignment="1">
      <alignment horizontal="left" vertical="center"/>
    </xf>
    <xf numFmtId="0" fontId="6" fillId="25" borderId="3" xfId="0" applyFont="1" applyFill="1" applyBorder="1" applyAlignment="1">
      <alignment horizontal="center"/>
    </xf>
    <xf numFmtId="0" fontId="6" fillId="25" borderId="4" xfId="0" applyFont="1" applyFill="1" applyBorder="1" applyAlignment="1">
      <alignment horizontal="center"/>
    </xf>
    <xf numFmtId="0" fontId="6" fillId="25" borderId="5" xfId="0" applyFont="1" applyFill="1" applyBorder="1" applyAlignment="1">
      <alignment horizontal="center"/>
    </xf>
    <xf numFmtId="0" fontId="6" fillId="25" borderId="6" xfId="0" applyFont="1" applyFill="1" applyBorder="1" applyAlignment="1">
      <alignment horizontal="left" vertical="center"/>
    </xf>
    <xf numFmtId="0" fontId="6" fillId="25" borderId="13" xfId="0" applyFont="1" applyFill="1" applyBorder="1" applyAlignment="1">
      <alignment horizontal="center"/>
    </xf>
    <xf numFmtId="0" fontId="6" fillId="25" borderId="11" xfId="0" applyFont="1" applyFill="1" applyBorder="1" applyAlignment="1">
      <alignment horizontal="center"/>
    </xf>
    <xf numFmtId="0" fontId="7" fillId="25" borderId="14" xfId="0" applyFont="1" applyFill="1" applyBorder="1" applyAlignment="1">
      <alignment horizontal="center" vertical="center"/>
    </xf>
    <xf numFmtId="0" fontId="7" fillId="25" borderId="12" xfId="0" applyFont="1" applyFill="1" applyBorder="1" applyAlignment="1">
      <alignment horizontal="center" vertical="center"/>
    </xf>
    <xf numFmtId="0" fontId="7" fillId="25" borderId="4" xfId="0" applyFont="1" applyFill="1" applyBorder="1" applyAlignment="1">
      <alignment horizontal="center" vertical="center"/>
    </xf>
    <xf numFmtId="0" fontId="7" fillId="25" borderId="5" xfId="0" applyFont="1" applyFill="1" applyBorder="1" applyAlignment="1">
      <alignment horizontal="center" vertical="center"/>
    </xf>
    <xf numFmtId="0" fontId="7" fillId="25" borderId="0" xfId="0" applyNumberFormat="1" applyFont="1" applyFill="1" applyBorder="1"/>
    <xf numFmtId="0" fontId="6" fillId="25" borderId="0" xfId="0" applyFont="1" applyFill="1" applyBorder="1"/>
    <xf numFmtId="0" fontId="7" fillId="25" borderId="10" xfId="0" applyFont="1" applyFill="1" applyBorder="1" applyAlignment="1">
      <alignment horizontal="center" vertical="center"/>
    </xf>
    <xf numFmtId="0" fontId="7" fillId="25" borderId="15" xfId="0" applyFont="1" applyFill="1" applyBorder="1" applyAlignment="1">
      <alignment horizontal="center" vertical="center"/>
    </xf>
    <xf numFmtId="0" fontId="12" fillId="18" borderId="0" xfId="0" applyFont="1" applyFill="1" applyBorder="1"/>
    <xf numFmtId="0" fontId="7" fillId="25" borderId="4" xfId="0" applyFont="1" applyFill="1" applyBorder="1"/>
    <xf numFmtId="0" fontId="6" fillId="25" borderId="4" xfId="0" applyFont="1" applyFill="1" applyBorder="1"/>
    <xf numFmtId="0" fontId="7" fillId="25" borderId="4" xfId="0" applyNumberFormat="1" applyFont="1" applyFill="1" applyBorder="1"/>
    <xf numFmtId="0" fontId="7" fillId="25" borderId="18" xfId="0" applyFont="1" applyFill="1" applyBorder="1" applyAlignment="1">
      <alignment horizontal="center" vertical="center"/>
    </xf>
    <xf numFmtId="0" fontId="7" fillId="25" borderId="19" xfId="0" applyFont="1" applyFill="1" applyBorder="1" applyAlignment="1">
      <alignment horizontal="center" vertical="center"/>
    </xf>
    <xf numFmtId="0" fontId="7" fillId="25" borderId="19" xfId="0" applyFont="1" applyFill="1" applyBorder="1"/>
    <xf numFmtId="0" fontId="17" fillId="25" borderId="4" xfId="0" applyFont="1" applyFill="1" applyBorder="1"/>
    <xf numFmtId="0" fontId="6" fillId="24" borderId="9" xfId="0" applyFont="1" applyFill="1" applyBorder="1" applyAlignment="1">
      <alignment vertical="top"/>
    </xf>
    <xf numFmtId="0" fontId="7" fillId="24" borderId="10" xfId="0" applyFont="1" applyFill="1" applyBorder="1" applyAlignment="1">
      <alignment horizontal="center" vertical="center"/>
    </xf>
    <xf numFmtId="0" fontId="7" fillId="24" borderId="15" xfId="0" applyFont="1" applyFill="1" applyBorder="1" applyAlignment="1">
      <alignment horizontal="center" vertical="center"/>
    </xf>
    <xf numFmtId="0" fontId="1" fillId="24" borderId="0" xfId="0" applyFont="1" applyFill="1" applyBorder="1"/>
    <xf numFmtId="0" fontId="12" fillId="24" borderId="0" xfId="0" applyFont="1" applyFill="1" applyBorder="1"/>
    <xf numFmtId="0" fontId="6" fillId="23" borderId="7" xfId="0" applyFont="1" applyFill="1" applyBorder="1" applyAlignment="1">
      <alignment vertical="top"/>
    </xf>
    <xf numFmtId="0" fontId="7" fillId="23" borderId="14" xfId="0" applyFont="1" applyFill="1" applyBorder="1" applyAlignment="1">
      <alignment horizontal="center" vertical="center"/>
    </xf>
    <xf numFmtId="0" fontId="7" fillId="23" borderId="12" xfId="0" applyFont="1" applyFill="1" applyBorder="1" applyAlignment="1">
      <alignment horizontal="center" vertical="center"/>
    </xf>
    <xf numFmtId="0" fontId="12" fillId="23" borderId="0" xfId="0" applyFont="1" applyFill="1" applyBorder="1"/>
    <xf numFmtId="0" fontId="1" fillId="23" borderId="0" xfId="0" applyFont="1" applyFill="1" applyBorder="1"/>
    <xf numFmtId="0" fontId="1" fillId="18" borderId="0" xfId="0" applyFont="1" applyFill="1" applyBorder="1"/>
    <xf numFmtId="0" fontId="16" fillId="20" borderId="0" xfId="0" applyFont="1" applyFill="1" applyBorder="1"/>
    <xf numFmtId="0" fontId="1" fillId="12" borderId="0" xfId="0" applyFont="1" applyFill="1" applyBorder="1"/>
    <xf numFmtId="0" fontId="1" fillId="9" borderId="0" xfId="0" applyFont="1" applyFill="1" applyBorder="1"/>
    <xf numFmtId="0" fontId="4" fillId="2" borderId="16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5" borderId="16" xfId="0" applyFont="1" applyFill="1" applyBorder="1" applyAlignment="1">
      <alignment horizontal="center"/>
    </xf>
    <xf numFmtId="0" fontId="4" fillId="25" borderId="8" xfId="0" applyFont="1" applyFill="1" applyBorder="1" applyAlignment="1">
      <alignment horizontal="center"/>
    </xf>
    <xf numFmtId="0" fontId="4" fillId="25" borderId="1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00"/>
      <color rgb="FFFF99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R315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8" sqref="A8"/>
      <selection pane="bottomRight" activeCell="P1" sqref="P1:P1048576"/>
    </sheetView>
  </sheetViews>
  <sheetFormatPr defaultColWidth="9.1796875" defaultRowHeight="13"/>
  <cols>
    <col min="1" max="1" width="24" style="1" customWidth="1"/>
    <col min="2" max="4" width="7.81640625" style="1" customWidth="1"/>
    <col min="5" max="5" width="8.90625" style="1" customWidth="1"/>
    <col min="6" max="6" width="8.54296875" style="1" customWidth="1"/>
    <col min="7" max="7" width="5.90625" style="31" customWidth="1"/>
    <col min="8" max="8" width="5.90625" style="1" customWidth="1"/>
    <col min="9" max="9" width="9.1796875" style="1"/>
    <col min="10" max="10" width="10.1796875" style="1" customWidth="1"/>
    <col min="11" max="11" width="7" style="1" customWidth="1"/>
    <col min="12" max="12" width="5.7265625" style="1" customWidth="1"/>
    <col min="13" max="13" width="9.26953125" style="1" customWidth="1"/>
    <col min="14" max="14" width="8.54296875" style="1" customWidth="1"/>
    <col min="15" max="15" width="9.1796875" style="90"/>
    <col min="16" max="16" width="9.1796875" style="31"/>
    <col min="17" max="20" width="9.1796875" style="1"/>
    <col min="21" max="21" width="5.81640625" style="1" customWidth="1"/>
    <col min="22" max="25" width="9.1796875" style="1"/>
    <col min="26" max="26" width="9.1796875" style="31"/>
    <col min="27" max="29" width="9.1796875" style="1"/>
    <col min="30" max="30" width="9.1796875" style="94"/>
    <col min="31" max="31" width="9.1796875" style="1"/>
    <col min="32" max="32" width="9.1796875" style="149"/>
    <col min="33" max="16384" width="9.1796875" style="1"/>
  </cols>
  <sheetData>
    <row r="1" spans="1:96" s="9" customFormat="1" ht="18.5" thickTop="1">
      <c r="A1" s="83"/>
      <c r="B1" s="209">
        <v>2011</v>
      </c>
      <c r="C1" s="210"/>
      <c r="D1" s="211"/>
      <c r="E1" s="28" t="s">
        <v>205</v>
      </c>
      <c r="F1" s="28" t="s">
        <v>207</v>
      </c>
      <c r="G1" s="40">
        <v>0.01</v>
      </c>
      <c r="H1" s="29" t="s">
        <v>202</v>
      </c>
      <c r="I1" s="28" t="s">
        <v>203</v>
      </c>
      <c r="J1" s="28" t="s">
        <v>204</v>
      </c>
      <c r="K1" s="28" t="s">
        <v>201</v>
      </c>
      <c r="L1" s="28" t="s">
        <v>208</v>
      </c>
      <c r="M1" s="28" t="s">
        <v>206</v>
      </c>
      <c r="N1" s="28" t="s">
        <v>209</v>
      </c>
      <c r="O1" s="87" t="s">
        <v>243</v>
      </c>
      <c r="P1" s="32" t="s">
        <v>210</v>
      </c>
      <c r="Q1" s="28" t="s">
        <v>211</v>
      </c>
      <c r="R1" s="28" t="s">
        <v>200</v>
      </c>
      <c r="S1" s="28" t="s">
        <v>219</v>
      </c>
      <c r="T1" s="28" t="s">
        <v>212</v>
      </c>
      <c r="U1" s="2" t="s">
        <v>213</v>
      </c>
      <c r="V1" s="2" t="s">
        <v>214</v>
      </c>
      <c r="W1" s="2" t="s">
        <v>215</v>
      </c>
      <c r="X1" s="2" t="s">
        <v>216</v>
      </c>
      <c r="Y1" s="2" t="s">
        <v>217</v>
      </c>
      <c r="Z1" s="41" t="s">
        <v>242</v>
      </c>
      <c r="AA1" s="2" t="s">
        <v>222</v>
      </c>
      <c r="AB1" s="2" t="s">
        <v>221</v>
      </c>
      <c r="AC1" s="2" t="s">
        <v>220</v>
      </c>
      <c r="AD1" s="91"/>
      <c r="AE1" s="2" t="s">
        <v>224</v>
      </c>
      <c r="AF1" s="150" t="s">
        <v>241</v>
      </c>
      <c r="AG1" s="2" t="s">
        <v>231</v>
      </c>
      <c r="AH1" s="2" t="s">
        <v>233</v>
      </c>
      <c r="AI1" s="151" t="s">
        <v>226</v>
      </c>
      <c r="AJ1" s="151" t="s">
        <v>249</v>
      </c>
      <c r="AK1" s="151" t="s">
        <v>250</v>
      </c>
      <c r="AL1" s="153" t="s">
        <v>252</v>
      </c>
      <c r="AM1" s="146"/>
      <c r="AN1" s="156" t="s">
        <v>257</v>
      </c>
      <c r="AO1" s="154"/>
      <c r="AP1" s="157" t="s">
        <v>261</v>
      </c>
      <c r="AQ1" s="157"/>
      <c r="AR1" s="160" t="s">
        <v>263</v>
      </c>
      <c r="AS1" s="160"/>
      <c r="AT1" s="161" t="s">
        <v>265</v>
      </c>
      <c r="AU1" s="161"/>
      <c r="AV1" s="153" t="s">
        <v>274</v>
      </c>
      <c r="AW1" s="153"/>
      <c r="AX1" s="160" t="s">
        <v>277</v>
      </c>
      <c r="AY1" s="160"/>
    </row>
    <row r="2" spans="1:96" s="13" customFormat="1" ht="14">
      <c r="A2" s="84"/>
      <c r="B2" s="10"/>
      <c r="C2" s="11" t="s">
        <v>218</v>
      </c>
      <c r="D2" s="12"/>
      <c r="G2" s="25"/>
      <c r="O2" s="53"/>
      <c r="P2" s="25"/>
      <c r="Z2" s="25"/>
      <c r="AD2" s="75"/>
      <c r="AF2" s="131"/>
      <c r="AI2" s="57"/>
      <c r="AJ2" s="57"/>
      <c r="AK2" s="57"/>
      <c r="AL2" s="53"/>
      <c r="AM2" s="153" t="s">
        <v>253</v>
      </c>
      <c r="AN2" s="80"/>
      <c r="AO2" s="80"/>
      <c r="AP2" s="157"/>
      <c r="AQ2" s="157" t="s">
        <v>262</v>
      </c>
      <c r="AR2" s="160"/>
      <c r="AS2" s="160"/>
      <c r="AT2" s="161"/>
      <c r="AU2" s="161" t="s">
        <v>266</v>
      </c>
      <c r="AV2" s="153"/>
      <c r="AW2" s="153" t="s">
        <v>275</v>
      </c>
      <c r="AX2" s="160"/>
      <c r="AY2" s="160"/>
    </row>
    <row r="3" spans="1:96" s="13" customFormat="1" ht="14.5" thickBot="1">
      <c r="A3" s="85"/>
      <c r="B3" s="21" t="s">
        <v>0</v>
      </c>
      <c r="C3" s="21" t="s">
        <v>197</v>
      </c>
      <c r="D3" s="20" t="s">
        <v>1</v>
      </c>
      <c r="E3" s="15"/>
      <c r="G3" s="25"/>
      <c r="O3" s="53"/>
      <c r="P3" s="25"/>
      <c r="R3"/>
      <c r="Z3" s="25"/>
      <c r="AD3" s="75"/>
      <c r="AF3" s="131"/>
      <c r="AI3" s="57"/>
      <c r="AJ3" s="57"/>
      <c r="AK3" s="57"/>
      <c r="AL3" s="53"/>
      <c r="AM3" s="53"/>
      <c r="AN3" s="80"/>
      <c r="AO3" s="156" t="s">
        <v>258</v>
      </c>
      <c r="AP3" s="95"/>
      <c r="AQ3" s="95"/>
      <c r="AR3" s="160"/>
      <c r="AS3" s="160" t="s">
        <v>264</v>
      </c>
      <c r="AT3" s="161"/>
      <c r="AU3" s="161"/>
      <c r="AV3" s="53"/>
      <c r="AW3" s="53"/>
      <c r="AX3" s="160"/>
      <c r="AY3" s="160" t="s">
        <v>278</v>
      </c>
    </row>
    <row r="4" spans="1:96" s="122" customFormat="1" ht="14.5" thickTop="1">
      <c r="A4" s="200" t="s">
        <v>2</v>
      </c>
      <c r="B4" s="201">
        <v>6</v>
      </c>
      <c r="C4" s="202">
        <v>6</v>
      </c>
      <c r="D4" s="202" t="s">
        <v>4</v>
      </c>
      <c r="E4" s="122">
        <f t="shared" ref="E4:E35" si="0">1+(-2+B4+C4)/6</f>
        <v>2.666666666666667</v>
      </c>
      <c r="F4" s="122">
        <v>24</v>
      </c>
      <c r="G4" s="122">
        <f t="shared" ref="G4:G39" si="1">1.153*F4/15-1</f>
        <v>0.8448</v>
      </c>
      <c r="H4" s="122">
        <f>(G4+I4)/2</f>
        <v>0.9224</v>
      </c>
      <c r="I4" s="122">
        <v>1</v>
      </c>
      <c r="J4" s="122">
        <f t="shared" ref="J4:J35" si="2">1-AE4/10</f>
        <v>0.752</v>
      </c>
      <c r="K4" s="122">
        <f t="shared" ref="K4:K35" si="3">4*J4/3</f>
        <v>1.0026666666666666</v>
      </c>
      <c r="L4" s="122">
        <v>0.09</v>
      </c>
      <c r="M4" s="122">
        <v>0.2</v>
      </c>
      <c r="N4" s="122">
        <f t="shared" ref="N4:N35" si="4">(L4/16.75+M4)/2</f>
        <v>0.10268656716417911</v>
      </c>
      <c r="O4" s="122">
        <v>258.16000000000003</v>
      </c>
      <c r="P4" s="122">
        <f t="shared" ref="P4:P35" si="5">2.63/O4</f>
        <v>1.0187480632166098E-2</v>
      </c>
      <c r="Q4" s="122">
        <f t="shared" ref="Q4:Q35" si="6">1-(E4-1)/3</f>
        <v>0.44444444444444431</v>
      </c>
      <c r="R4" s="122">
        <v>29.4</v>
      </c>
      <c r="S4" s="122">
        <v>0.65100000000000002</v>
      </c>
      <c r="T4" s="122">
        <f>(R4/100+S4)/2</f>
        <v>0.47250000000000003</v>
      </c>
      <c r="U4" s="122" t="s">
        <v>223</v>
      </c>
      <c r="V4" s="122">
        <v>0.28999999999999998</v>
      </c>
      <c r="W4" s="122">
        <f>(V4+K4)/2</f>
        <v>0.64633333333333332</v>
      </c>
      <c r="X4" s="122" t="s">
        <v>223</v>
      </c>
      <c r="Y4" s="122">
        <v>0.3</v>
      </c>
      <c r="Z4" s="122">
        <v>2.13</v>
      </c>
      <c r="AA4" s="122">
        <v>36</v>
      </c>
      <c r="AB4" s="122">
        <v>35</v>
      </c>
      <c r="AC4" s="122">
        <v>29.8</v>
      </c>
      <c r="AE4" s="122">
        <v>2.48</v>
      </c>
      <c r="AF4" s="122">
        <f t="shared" ref="AF4:AF35" si="7">Z4/O4</f>
        <v>8.2506972420204518E-3</v>
      </c>
      <c r="AG4" s="122">
        <v>1</v>
      </c>
      <c r="AH4" s="122">
        <v>16</v>
      </c>
      <c r="AI4" s="122">
        <f t="shared" ref="AI4:AI35" si="8">P4*S4</f>
        <v>6.63204989154013E-3</v>
      </c>
      <c r="AJ4" s="122">
        <f t="shared" ref="AJ4:AJ35" si="9">P4*P4</f>
        <v>1.0378476163075935E-4</v>
      </c>
      <c r="AK4" s="122">
        <f t="shared" ref="AK4:AK35" si="10">S4*S4</f>
        <v>0.42380100000000004</v>
      </c>
      <c r="AL4" s="122">
        <f t="shared" ref="AL4:AL35" si="11">AE4*P4</f>
        <v>2.5264951967771922E-2</v>
      </c>
      <c r="AM4" s="122">
        <f t="shared" ref="AM4:AM35" si="12">AE4^2</f>
        <v>6.1504000000000003</v>
      </c>
      <c r="AN4" s="122">
        <f t="shared" ref="AN4:AN35" si="13">P4*E4</f>
        <v>2.7166615019109597E-2</v>
      </c>
      <c r="AO4" s="122">
        <f t="shared" ref="AO4:AO35" si="14">E4^2</f>
        <v>7.1111111111111125</v>
      </c>
      <c r="AP4" s="203">
        <f t="shared" ref="AP4:AP35" si="15">Z4*P4</f>
        <v>2.1699333746513786E-2</v>
      </c>
      <c r="AQ4" s="203">
        <f t="shared" ref="AQ4:AQ35" si="16">Z4*Z4</f>
        <v>4.5368999999999993</v>
      </c>
      <c r="AR4" s="122">
        <f t="shared" ref="AR4:AR35" si="17">AC4*P4</f>
        <v>0.30358692283854971</v>
      </c>
      <c r="AS4" s="122">
        <f t="shared" ref="AS4:AS35" si="18">AC4^2</f>
        <v>888.04000000000008</v>
      </c>
      <c r="AT4" s="122">
        <f t="shared" ref="AT4:AT35" si="19">H4*P4</f>
        <v>9.3969321351100085E-3</v>
      </c>
      <c r="AU4" s="122">
        <f t="shared" ref="AU4:AU35" si="20">H4^2</f>
        <v>0.85082175999999998</v>
      </c>
      <c r="AV4" s="122">
        <f>AA4*P4</f>
        <v>0.36674930275797951</v>
      </c>
      <c r="AW4" s="122">
        <f>AA4^2</f>
        <v>1296</v>
      </c>
      <c r="AX4" s="122">
        <f>P4*R4</f>
        <v>0.29951193058568326</v>
      </c>
      <c r="AY4" s="122">
        <f>R4*R4</f>
        <v>864.3599999999999</v>
      </c>
    </row>
    <row r="5" spans="1:96" s="70" customFormat="1" ht="14">
      <c r="A5" s="16" t="s">
        <v>5</v>
      </c>
      <c r="B5" s="14">
        <v>3</v>
      </c>
      <c r="C5" s="14">
        <v>3</v>
      </c>
      <c r="D5" s="22" t="s">
        <v>3</v>
      </c>
      <c r="E5" s="15">
        <f t="shared" si="0"/>
        <v>1.6666666666666665</v>
      </c>
      <c r="F5" s="15">
        <v>29</v>
      </c>
      <c r="G5" s="15">
        <f t="shared" si="1"/>
        <v>1.229133333333333</v>
      </c>
      <c r="H5" s="15">
        <f>(G5+I5)/2</f>
        <v>0.98956666666666648</v>
      </c>
      <c r="I5" s="15">
        <v>0.75</v>
      </c>
      <c r="J5" s="15">
        <f t="shared" si="2"/>
        <v>0.41399999999999992</v>
      </c>
      <c r="K5" s="15">
        <f t="shared" si="3"/>
        <v>0.55199999999999994</v>
      </c>
      <c r="L5" s="15">
        <v>0.05</v>
      </c>
      <c r="M5" s="15">
        <v>0.2</v>
      </c>
      <c r="N5" s="15">
        <f t="shared" si="4"/>
        <v>0.10149253731343284</v>
      </c>
      <c r="O5" s="15">
        <f t="shared" ref="O5:O36" si="21">EXP(E5*(H5+K5+N5))</f>
        <v>15.462720634670621</v>
      </c>
      <c r="P5" s="15">
        <f t="shared" si="5"/>
        <v>0.17008649785103117</v>
      </c>
      <c r="Q5" s="15">
        <f t="shared" si="6"/>
        <v>0.77777777777777779</v>
      </c>
      <c r="R5" s="15">
        <v>34.5</v>
      </c>
      <c r="S5" s="15">
        <f>1-0.719</f>
        <v>0.28100000000000003</v>
      </c>
      <c r="T5" s="15">
        <f>(R5/100+S5)/2</f>
        <v>0.313</v>
      </c>
      <c r="U5" s="15">
        <v>0.59399999999999997</v>
      </c>
      <c r="V5" s="15">
        <v>0.75</v>
      </c>
      <c r="W5" s="15">
        <f>(V5+U5+J5)/3</f>
        <v>0.58599999999999997</v>
      </c>
      <c r="X5" s="15">
        <v>0</v>
      </c>
      <c r="Y5" s="15">
        <f>X5</f>
        <v>0</v>
      </c>
      <c r="Z5" s="15">
        <f t="shared" ref="Z5:Z36" si="22">EXP(Q5*(Y5+W5+T5))</f>
        <v>2.0121870643048236</v>
      </c>
      <c r="AA5" s="15">
        <v>12.5</v>
      </c>
      <c r="AB5" s="15">
        <v>13.4</v>
      </c>
      <c r="AC5" s="15">
        <v>2.8</v>
      </c>
      <c r="AD5" s="15"/>
      <c r="AE5" s="15">
        <v>5.86</v>
      </c>
      <c r="AF5" s="131">
        <f t="shared" si="7"/>
        <v>0.13013150220104758</v>
      </c>
      <c r="AG5" s="15">
        <v>1</v>
      </c>
      <c r="AH5" s="15">
        <v>15</v>
      </c>
      <c r="AI5" s="57">
        <f t="shared" si="8"/>
        <v>4.7794305896139762E-2</v>
      </c>
      <c r="AJ5" s="57">
        <f t="shared" si="9"/>
        <v>2.8929416751228829E-2</v>
      </c>
      <c r="AK5" s="57">
        <f t="shared" si="10"/>
        <v>7.8961000000000017E-2</v>
      </c>
      <c r="AL5" s="53">
        <f t="shared" si="11"/>
        <v>0.99670687740704267</v>
      </c>
      <c r="AM5" s="53">
        <f t="shared" si="12"/>
        <v>34.339600000000004</v>
      </c>
      <c r="AN5" s="80">
        <f t="shared" si="13"/>
        <v>0.28347749641838527</v>
      </c>
      <c r="AO5" s="80">
        <f t="shared" si="14"/>
        <v>2.7777777777777772</v>
      </c>
      <c r="AP5" s="145">
        <f t="shared" si="15"/>
        <v>0.34224585078875508</v>
      </c>
      <c r="AQ5" s="145">
        <f t="shared" si="16"/>
        <v>4.0488967817556647</v>
      </c>
      <c r="AR5" s="100">
        <f t="shared" si="17"/>
        <v>0.47624219398288725</v>
      </c>
      <c r="AS5" s="100">
        <f t="shared" si="18"/>
        <v>7.839999999999999</v>
      </c>
      <c r="AT5" s="25">
        <f t="shared" si="19"/>
        <v>0.16831192872345205</v>
      </c>
      <c r="AU5" s="25">
        <f t="shared" si="20"/>
        <v>0.97924218777777738</v>
      </c>
      <c r="AV5" s="53">
        <f>AA5*P5</f>
        <v>2.1260812231378896</v>
      </c>
      <c r="AW5" s="53">
        <f>AA5^2</f>
        <v>156.25</v>
      </c>
      <c r="AX5" s="100">
        <f>P5*R5</f>
        <v>5.8679841758605749</v>
      </c>
      <c r="AY5" s="100">
        <f>R5*R5</f>
        <v>1190.25</v>
      </c>
    </row>
    <row r="6" spans="1:96" s="57" customFormat="1" ht="14">
      <c r="A6" s="26" t="s">
        <v>6</v>
      </c>
      <c r="B6" s="24">
        <v>6</v>
      </c>
      <c r="C6" s="24">
        <v>5</v>
      </c>
      <c r="D6" s="27" t="s">
        <v>4</v>
      </c>
      <c r="E6" s="15">
        <f t="shared" si="0"/>
        <v>2.5</v>
      </c>
      <c r="F6" s="25">
        <v>26.8</v>
      </c>
      <c r="G6" s="25">
        <f t="shared" si="1"/>
        <v>1.0600266666666669</v>
      </c>
      <c r="H6" s="15">
        <f>(G6+I6)/2</f>
        <v>0.90501333333333345</v>
      </c>
      <c r="I6" s="25">
        <v>0.75</v>
      </c>
      <c r="J6" s="25">
        <f t="shared" si="2"/>
        <v>0.65600000000000003</v>
      </c>
      <c r="K6" s="57">
        <f t="shared" si="3"/>
        <v>0.8746666666666667</v>
      </c>
      <c r="L6" s="25">
        <v>0.53</v>
      </c>
      <c r="M6" s="25">
        <v>0.4</v>
      </c>
      <c r="N6" s="70">
        <f t="shared" si="4"/>
        <v>0.21582089552238806</v>
      </c>
      <c r="O6" s="53">
        <f t="shared" si="21"/>
        <v>146.7531962641543</v>
      </c>
      <c r="P6" s="25">
        <f t="shared" si="5"/>
        <v>1.7921245103691138E-2</v>
      </c>
      <c r="Q6" s="15">
        <f t="shared" si="6"/>
        <v>0.5</v>
      </c>
      <c r="R6" s="25">
        <v>35.299999999999997</v>
      </c>
      <c r="S6" s="25">
        <f>1-0.677</f>
        <v>0.32299999999999995</v>
      </c>
      <c r="T6" s="15">
        <f>(R6/100+S6)/2</f>
        <v>0.33799999999999997</v>
      </c>
      <c r="U6" s="25">
        <v>6.6000000000000003E-2</v>
      </c>
      <c r="V6" s="25">
        <f>1-0.29</f>
        <v>0.71</v>
      </c>
      <c r="W6" s="15">
        <f>(V6+U6+J6)/3</f>
        <v>0.47733333333333333</v>
      </c>
      <c r="X6" s="25">
        <f>35/113</f>
        <v>0.30973451327433627</v>
      </c>
      <c r="Y6" s="15">
        <f>X6</f>
        <v>0.30973451327433627</v>
      </c>
      <c r="Z6" s="25">
        <f t="shared" si="22"/>
        <v>1.7551141952225349</v>
      </c>
      <c r="AA6" s="25">
        <v>23</v>
      </c>
      <c r="AB6" s="25">
        <v>9.6999999999999993</v>
      </c>
      <c r="AC6" s="25">
        <v>37</v>
      </c>
      <c r="AD6" s="75"/>
      <c r="AE6" s="25">
        <v>3.44</v>
      </c>
      <c r="AF6" s="131">
        <f t="shared" si="7"/>
        <v>1.1959631816559188E-2</v>
      </c>
      <c r="AG6" s="15">
        <v>1</v>
      </c>
      <c r="AH6" s="15">
        <v>53</v>
      </c>
      <c r="AI6" s="57">
        <f t="shared" si="8"/>
        <v>5.7885621684922364E-3</v>
      </c>
      <c r="AJ6" s="57">
        <f t="shared" si="9"/>
        <v>3.2117102606657357E-4</v>
      </c>
      <c r="AK6" s="57">
        <f t="shared" si="10"/>
        <v>0.10432899999999996</v>
      </c>
      <c r="AL6" s="53">
        <f t="shared" si="11"/>
        <v>6.1649083156697516E-2</v>
      </c>
      <c r="AM6" s="53">
        <f t="shared" si="12"/>
        <v>11.833599999999999</v>
      </c>
      <c r="AN6" s="80">
        <f t="shared" si="13"/>
        <v>4.4803112759227846E-2</v>
      </c>
      <c r="AO6" s="80">
        <f t="shared" si="14"/>
        <v>6.25</v>
      </c>
      <c r="AP6" s="145">
        <f t="shared" si="15"/>
        <v>3.1453831677550663E-2</v>
      </c>
      <c r="AQ6" s="145">
        <f t="shared" si="16"/>
        <v>3.0804258382716463</v>
      </c>
      <c r="AR6" s="100">
        <f t="shared" si="17"/>
        <v>0.66308606883657206</v>
      </c>
      <c r="AS6" s="100">
        <f t="shared" si="18"/>
        <v>1369</v>
      </c>
      <c r="AT6" s="25">
        <f t="shared" si="19"/>
        <v>1.6218965768775198E-2</v>
      </c>
      <c r="AU6" s="25">
        <f t="shared" si="20"/>
        <v>0.8190491335111113</v>
      </c>
      <c r="AV6" s="53">
        <f>AA6*P6</f>
        <v>0.41218863738489619</v>
      </c>
      <c r="AW6" s="53">
        <f>AA6^2</f>
        <v>529</v>
      </c>
      <c r="AX6" s="100">
        <f>P6*R6</f>
        <v>0.63261995216029709</v>
      </c>
      <c r="AY6" s="100">
        <f>R6*R6</f>
        <v>1246.0899999999997</v>
      </c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</row>
    <row r="7" spans="1:96" s="70" customFormat="1" ht="14">
      <c r="A7" s="16" t="s">
        <v>7</v>
      </c>
      <c r="B7" s="14">
        <v>1</v>
      </c>
      <c r="C7" s="14">
        <v>1</v>
      </c>
      <c r="D7" s="22" t="s">
        <v>8</v>
      </c>
      <c r="E7" s="15">
        <f t="shared" si="0"/>
        <v>1</v>
      </c>
      <c r="F7" s="15"/>
      <c r="G7" s="25">
        <f t="shared" si="1"/>
        <v>-1</v>
      </c>
      <c r="H7" s="15">
        <v>0.75</v>
      </c>
      <c r="I7" s="15">
        <v>0.75</v>
      </c>
      <c r="J7" s="25">
        <f t="shared" si="2"/>
        <v>0.19000000000000006</v>
      </c>
      <c r="K7" s="57">
        <f t="shared" si="3"/>
        <v>0.25333333333333341</v>
      </c>
      <c r="L7" s="15">
        <v>0</v>
      </c>
      <c r="M7" s="15">
        <v>0.2</v>
      </c>
      <c r="N7" s="70">
        <f t="shared" si="4"/>
        <v>0.1</v>
      </c>
      <c r="O7" s="53">
        <f t="shared" si="21"/>
        <v>3.0141966190638643</v>
      </c>
      <c r="P7" s="25">
        <f t="shared" si="5"/>
        <v>0.87253763850906763</v>
      </c>
      <c r="Q7" s="15">
        <f t="shared" si="6"/>
        <v>1</v>
      </c>
      <c r="R7" s="15"/>
      <c r="S7" s="15">
        <f>1-0.824</f>
        <v>0.17600000000000005</v>
      </c>
      <c r="T7" s="70">
        <f>S7</f>
        <v>0.17600000000000005</v>
      </c>
      <c r="U7" s="15"/>
      <c r="V7" s="15">
        <v>1.18</v>
      </c>
      <c r="W7" s="25">
        <f>(V7+K7)/2</f>
        <v>0.71666666666666667</v>
      </c>
      <c r="X7" s="15" t="s">
        <v>223</v>
      </c>
      <c r="Y7" s="15">
        <v>0.2</v>
      </c>
      <c r="Z7" s="25">
        <f t="shared" si="22"/>
        <v>2.9822160546930476</v>
      </c>
      <c r="AA7" s="15" t="s">
        <v>223</v>
      </c>
      <c r="AB7" s="15">
        <v>2.9</v>
      </c>
      <c r="AC7" s="15">
        <v>7.8E-2</v>
      </c>
      <c r="AD7" s="75"/>
      <c r="AE7" s="108">
        <v>8.1</v>
      </c>
      <c r="AF7" s="131">
        <f t="shared" si="7"/>
        <v>0.98939002048885949</v>
      </c>
      <c r="AG7" s="25">
        <v>1</v>
      </c>
      <c r="AH7" s="25">
        <v>2</v>
      </c>
      <c r="AI7" s="57">
        <f t="shared" si="8"/>
        <v>0.15356662437759594</v>
      </c>
      <c r="AJ7" s="57">
        <f t="shared" si="9"/>
        <v>0.76132193061498032</v>
      </c>
      <c r="AK7" s="57">
        <f t="shared" si="10"/>
        <v>3.0976000000000017E-2</v>
      </c>
      <c r="AL7" s="53">
        <f t="shared" si="11"/>
        <v>7.0675548719234476</v>
      </c>
      <c r="AM7" s="53">
        <f t="shared" si="12"/>
        <v>65.61</v>
      </c>
      <c r="AN7" s="80">
        <f t="shared" si="13"/>
        <v>0.87253763850906763</v>
      </c>
      <c r="AO7" s="80">
        <f t="shared" si="14"/>
        <v>1</v>
      </c>
      <c r="AP7" s="145">
        <f t="shared" si="15"/>
        <v>2.6020957538857004</v>
      </c>
      <c r="AQ7" s="145">
        <f t="shared" si="16"/>
        <v>8.8936125968689659</v>
      </c>
      <c r="AR7" s="100">
        <f t="shared" si="17"/>
        <v>6.8057935803707281E-2</v>
      </c>
      <c r="AS7" s="100">
        <f t="shared" si="18"/>
        <v>6.084E-3</v>
      </c>
      <c r="AT7" s="25">
        <f t="shared" si="19"/>
        <v>0.65440322888180069</v>
      </c>
      <c r="AU7" s="25">
        <f t="shared" si="20"/>
        <v>0.5625</v>
      </c>
      <c r="AV7" s="53"/>
      <c r="AW7" s="53"/>
      <c r="AX7" s="100"/>
      <c r="AY7" s="100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</row>
    <row r="8" spans="1:96" s="70" customFormat="1" ht="14">
      <c r="A8" s="16" t="s">
        <v>9</v>
      </c>
      <c r="B8" s="14">
        <v>6</v>
      </c>
      <c r="C8" s="14">
        <v>5</v>
      </c>
      <c r="D8" s="22" t="s">
        <v>4</v>
      </c>
      <c r="E8" s="15">
        <f t="shared" si="0"/>
        <v>2.5</v>
      </c>
      <c r="F8" s="15">
        <v>44.7</v>
      </c>
      <c r="G8" s="25">
        <f t="shared" si="1"/>
        <v>2.4359400000000004</v>
      </c>
      <c r="H8" s="15">
        <f>(G8+I8)/2</f>
        <v>1.5529700000000002</v>
      </c>
      <c r="I8" s="15">
        <v>0.67</v>
      </c>
      <c r="J8" s="25">
        <f t="shared" si="2"/>
        <v>0.66800000000000004</v>
      </c>
      <c r="K8" s="57">
        <f t="shared" si="3"/>
        <v>0.89066666666666672</v>
      </c>
      <c r="L8" s="15">
        <v>0.14000000000000001</v>
      </c>
      <c r="M8" s="15">
        <v>0.2</v>
      </c>
      <c r="N8" s="70">
        <f t="shared" si="4"/>
        <v>0.10417910447761194</v>
      </c>
      <c r="O8" s="53">
        <f t="shared" si="21"/>
        <v>583.78889006518534</v>
      </c>
      <c r="P8" s="25">
        <f t="shared" si="5"/>
        <v>4.5050531874738769E-3</v>
      </c>
      <c r="Q8" s="15">
        <f t="shared" si="6"/>
        <v>0.5</v>
      </c>
      <c r="R8" s="15"/>
      <c r="S8" s="15">
        <v>0.59699999999999998</v>
      </c>
      <c r="T8" s="70">
        <f>S8</f>
        <v>0.59699999999999998</v>
      </c>
      <c r="U8" s="15">
        <v>0.245</v>
      </c>
      <c r="V8" s="15">
        <v>0.63</v>
      </c>
      <c r="W8" s="15">
        <f>(V8+U8+J8)/3</f>
        <v>0.51433333333333342</v>
      </c>
      <c r="X8" s="15" t="s">
        <v>225</v>
      </c>
      <c r="Y8" s="15">
        <v>0.1</v>
      </c>
      <c r="Z8" s="25">
        <f t="shared" si="22"/>
        <v>1.8324734507270797</v>
      </c>
      <c r="AA8" s="15">
        <v>40.5</v>
      </c>
      <c r="AB8" s="15" t="s">
        <v>223</v>
      </c>
      <c r="AC8" s="15">
        <v>7.8E-2</v>
      </c>
      <c r="AD8" s="75"/>
      <c r="AE8" s="15">
        <v>3.32</v>
      </c>
      <c r="AF8" s="131">
        <f t="shared" si="7"/>
        <v>3.138931695878055E-3</v>
      </c>
      <c r="AG8" s="53">
        <v>1</v>
      </c>
      <c r="AH8" s="53">
        <v>58</v>
      </c>
      <c r="AI8" s="57">
        <f t="shared" si="8"/>
        <v>2.6895167529219044E-3</v>
      </c>
      <c r="AJ8" s="57">
        <f t="shared" si="9"/>
        <v>2.0295504221968538E-5</v>
      </c>
      <c r="AK8" s="57">
        <f t="shared" si="10"/>
        <v>0.35640899999999998</v>
      </c>
      <c r="AL8" s="53">
        <f t="shared" si="11"/>
        <v>1.495677658241327E-2</v>
      </c>
      <c r="AM8" s="53">
        <f t="shared" si="12"/>
        <v>11.022399999999999</v>
      </c>
      <c r="AN8" s="80">
        <f t="shared" si="13"/>
        <v>1.1262632968684693E-2</v>
      </c>
      <c r="AO8" s="80">
        <f t="shared" si="14"/>
        <v>6.25</v>
      </c>
      <c r="AP8" s="145">
        <f t="shared" si="15"/>
        <v>8.2553903601592839E-3</v>
      </c>
      <c r="AQ8" s="145">
        <f t="shared" si="16"/>
        <v>3.3579589476196108</v>
      </c>
      <c r="AR8" s="100">
        <f t="shared" si="17"/>
        <v>3.513941486229624E-4</v>
      </c>
      <c r="AS8" s="100">
        <f t="shared" si="18"/>
        <v>6.084E-3</v>
      </c>
      <c r="AT8" s="25">
        <f t="shared" si="19"/>
        <v>6.9962124485513071E-3</v>
      </c>
      <c r="AU8" s="25">
        <f t="shared" si="20"/>
        <v>2.4117158209000005</v>
      </c>
      <c r="AV8" s="53">
        <f>AA8*P8</f>
        <v>0.18245465409269201</v>
      </c>
      <c r="AW8" s="53">
        <f>AA8^2</f>
        <v>1640.25</v>
      </c>
      <c r="AX8" s="100"/>
      <c r="AY8" s="100"/>
    </row>
    <row r="9" spans="1:96" s="70" customFormat="1" ht="14">
      <c r="A9" s="16" t="s">
        <v>193</v>
      </c>
      <c r="B9" s="14">
        <v>3</v>
      </c>
      <c r="C9" s="14">
        <v>2</v>
      </c>
      <c r="D9" s="22" t="s">
        <v>8</v>
      </c>
      <c r="E9" s="15">
        <f t="shared" si="0"/>
        <v>1.5</v>
      </c>
      <c r="F9" s="15"/>
      <c r="G9" s="25">
        <f t="shared" si="1"/>
        <v>-1</v>
      </c>
      <c r="H9" s="15">
        <v>0.75</v>
      </c>
      <c r="I9" s="15">
        <v>0.75</v>
      </c>
      <c r="J9" s="25">
        <f t="shared" si="2"/>
        <v>0.66800000000000004</v>
      </c>
      <c r="K9" s="57">
        <f t="shared" si="3"/>
        <v>0.89066666666666672</v>
      </c>
      <c r="L9" s="15">
        <v>0.03</v>
      </c>
      <c r="M9" s="15">
        <v>0.2</v>
      </c>
      <c r="N9" s="70">
        <f t="shared" si="4"/>
        <v>0.10089552238805971</v>
      </c>
      <c r="O9" s="53">
        <f t="shared" si="21"/>
        <v>13.630954649648251</v>
      </c>
      <c r="P9" s="25">
        <f t="shared" si="5"/>
        <v>0.19294319932814591</v>
      </c>
      <c r="Q9" s="15">
        <f t="shared" si="6"/>
        <v>0.83333333333333337</v>
      </c>
      <c r="R9" s="15"/>
      <c r="S9" s="109">
        <v>0.43</v>
      </c>
      <c r="T9" s="70">
        <f>S9</f>
        <v>0.43</v>
      </c>
      <c r="U9" s="15">
        <v>1.3</v>
      </c>
      <c r="V9" s="15">
        <v>0.8</v>
      </c>
      <c r="W9" s="15">
        <f>(V9+U9+J9)/3</f>
        <v>0.92266666666666675</v>
      </c>
      <c r="X9" s="15" t="s">
        <v>225</v>
      </c>
      <c r="Y9" s="15">
        <v>0.1</v>
      </c>
      <c r="Z9" s="25">
        <f t="shared" si="22"/>
        <v>3.3553482171871303</v>
      </c>
      <c r="AA9" s="15">
        <v>23</v>
      </c>
      <c r="AB9" s="15">
        <v>11</v>
      </c>
      <c r="AC9" s="15">
        <v>21</v>
      </c>
      <c r="AD9" s="75"/>
      <c r="AE9" s="15">
        <v>3.32</v>
      </c>
      <c r="AF9" s="131">
        <f t="shared" si="7"/>
        <v>0.24615650946162568</v>
      </c>
      <c r="AG9" s="25"/>
      <c r="AH9" s="25">
        <v>39</v>
      </c>
      <c r="AI9" s="57">
        <f t="shared" si="8"/>
        <v>8.2965575711102746E-2</v>
      </c>
      <c r="AJ9" s="57">
        <f t="shared" si="9"/>
        <v>3.7227078166980641E-2</v>
      </c>
      <c r="AK9" s="57">
        <f t="shared" si="10"/>
        <v>0.18489999999999998</v>
      </c>
      <c r="AL9" s="53">
        <f t="shared" si="11"/>
        <v>0.64057142176944437</v>
      </c>
      <c r="AM9" s="53">
        <f t="shared" si="12"/>
        <v>11.022399999999999</v>
      </c>
      <c r="AN9" s="80">
        <f t="shared" si="13"/>
        <v>0.28941479899221889</v>
      </c>
      <c r="AO9" s="80">
        <f t="shared" si="14"/>
        <v>2.25</v>
      </c>
      <c r="AP9" s="145">
        <f t="shared" si="15"/>
        <v>0.64739161988407545</v>
      </c>
      <c r="AQ9" s="145">
        <f t="shared" si="16"/>
        <v>11.258361658580853</v>
      </c>
      <c r="AR9" s="100">
        <f t="shared" si="17"/>
        <v>4.0518071858910645</v>
      </c>
      <c r="AS9" s="100">
        <f t="shared" si="18"/>
        <v>441</v>
      </c>
      <c r="AT9" s="25">
        <f t="shared" si="19"/>
        <v>0.14470739949610945</v>
      </c>
      <c r="AU9" s="25">
        <f t="shared" si="20"/>
        <v>0.5625</v>
      </c>
      <c r="AV9" s="53">
        <f>AA9*P9</f>
        <v>4.4376935845473557</v>
      </c>
      <c r="AW9" s="53">
        <f>AA9^2</f>
        <v>529</v>
      </c>
      <c r="AX9" s="100"/>
      <c r="AY9" s="100"/>
    </row>
    <row r="10" spans="1:96" s="70" customFormat="1" ht="14">
      <c r="A10" s="116" t="s">
        <v>10</v>
      </c>
      <c r="B10" s="117">
        <v>2</v>
      </c>
      <c r="C10" s="117">
        <v>2</v>
      </c>
      <c r="D10" s="118" t="s">
        <v>8</v>
      </c>
      <c r="E10" s="107">
        <f t="shared" si="0"/>
        <v>1.3333333333333333</v>
      </c>
      <c r="F10" s="107">
        <v>29.5</v>
      </c>
      <c r="G10" s="107">
        <f t="shared" si="1"/>
        <v>1.2675666666666667</v>
      </c>
      <c r="H10" s="107">
        <f t="shared" ref="H10:H15" si="23">(G10+I10)/2</f>
        <v>1.0087833333333334</v>
      </c>
      <c r="I10" s="107">
        <v>0.75</v>
      </c>
      <c r="J10" s="107">
        <f t="shared" si="2"/>
        <v>0.31600000000000006</v>
      </c>
      <c r="K10" s="107">
        <f t="shared" si="3"/>
        <v>0.42133333333333339</v>
      </c>
      <c r="L10" s="107">
        <v>0.87</v>
      </c>
      <c r="M10" s="107">
        <v>0.6</v>
      </c>
      <c r="N10" s="107">
        <f t="shared" si="4"/>
        <v>0.32597014925373136</v>
      </c>
      <c r="O10" s="107">
        <f t="shared" si="21"/>
        <v>10.396290791774458</v>
      </c>
      <c r="P10" s="107">
        <f t="shared" si="5"/>
        <v>0.25297484003437604</v>
      </c>
      <c r="Q10" s="107">
        <f t="shared" si="6"/>
        <v>0.88888888888888895</v>
      </c>
      <c r="R10" s="107">
        <v>48.5</v>
      </c>
      <c r="S10" s="107">
        <v>0.22500000000000001</v>
      </c>
      <c r="T10" s="107">
        <f>(R10/100+S10)/2</f>
        <v>0.35499999999999998</v>
      </c>
      <c r="U10" s="107">
        <v>0.43</v>
      </c>
      <c r="V10" s="107">
        <v>0.2</v>
      </c>
      <c r="W10" s="107">
        <f>(V10+U10+J10)/3</f>
        <v>0.31533333333333335</v>
      </c>
      <c r="X10" s="107">
        <f>0.5*(0.27338+0.1)</f>
        <v>0.18669000000000002</v>
      </c>
      <c r="Y10" s="107">
        <v>0.187</v>
      </c>
      <c r="Z10" s="107">
        <f t="shared" si="22"/>
        <v>2.1427157661507343</v>
      </c>
      <c r="AA10" s="107">
        <v>30</v>
      </c>
      <c r="AB10" s="107">
        <v>7.2</v>
      </c>
      <c r="AC10" s="107">
        <v>40</v>
      </c>
      <c r="AD10" s="107"/>
      <c r="AE10" s="107">
        <v>6.84</v>
      </c>
      <c r="AF10" s="131">
        <f t="shared" si="7"/>
        <v>0.20610387003084316</v>
      </c>
      <c r="AG10" s="107">
        <v>1</v>
      </c>
      <c r="AH10" s="39">
        <v>39</v>
      </c>
      <c r="AI10" s="57">
        <f t="shared" si="8"/>
        <v>5.6919339007734611E-2</v>
      </c>
      <c r="AJ10" s="57">
        <f t="shared" si="9"/>
        <v>6.3996269690418148E-2</v>
      </c>
      <c r="AK10" s="57">
        <f t="shared" si="10"/>
        <v>5.0625000000000003E-2</v>
      </c>
      <c r="AL10" s="53">
        <f t="shared" si="11"/>
        <v>1.7303479058351321</v>
      </c>
      <c r="AM10" s="53">
        <f t="shared" si="12"/>
        <v>46.785599999999995</v>
      </c>
      <c r="AN10" s="80">
        <f t="shared" si="13"/>
        <v>0.33729978671250138</v>
      </c>
      <c r="AO10" s="80">
        <f t="shared" si="14"/>
        <v>1.7777777777777777</v>
      </c>
      <c r="AP10" s="145">
        <f t="shared" si="15"/>
        <v>0.54205317818111753</v>
      </c>
      <c r="AQ10" s="145">
        <f t="shared" si="16"/>
        <v>4.5912308545109282</v>
      </c>
      <c r="AR10" s="100">
        <f t="shared" si="17"/>
        <v>10.118993601375042</v>
      </c>
      <c r="AS10" s="100">
        <f t="shared" si="18"/>
        <v>1600</v>
      </c>
      <c r="AT10" s="25">
        <f t="shared" si="19"/>
        <v>0.25519680237934467</v>
      </c>
      <c r="AU10" s="25">
        <f t="shared" si="20"/>
        <v>1.0176438136111112</v>
      </c>
      <c r="AV10" s="53">
        <f>AA10*P10</f>
        <v>7.5892452010312814</v>
      </c>
      <c r="AW10" s="53">
        <f>AA10^2</f>
        <v>900</v>
      </c>
      <c r="AX10" s="100">
        <f>P10*R10</f>
        <v>12.269279741667237</v>
      </c>
      <c r="AY10" s="100">
        <f>R10*R10</f>
        <v>2352.25</v>
      </c>
    </row>
    <row r="11" spans="1:96" s="13" customFormat="1" ht="14">
      <c r="A11" s="16" t="s">
        <v>11</v>
      </c>
      <c r="B11" s="14">
        <v>6</v>
      </c>
      <c r="C11" s="14">
        <v>4</v>
      </c>
      <c r="D11" s="22" t="s">
        <v>3</v>
      </c>
      <c r="E11" s="15">
        <f t="shared" si="0"/>
        <v>2.333333333333333</v>
      </c>
      <c r="F11" s="15">
        <v>25.4</v>
      </c>
      <c r="G11" s="25">
        <f t="shared" si="1"/>
        <v>0.95241333333333311</v>
      </c>
      <c r="H11" s="15">
        <f t="shared" si="23"/>
        <v>0.85120666666666656</v>
      </c>
      <c r="I11" s="15">
        <v>0.75</v>
      </c>
      <c r="J11" s="25">
        <f t="shared" si="2"/>
        <v>0.59099999999999997</v>
      </c>
      <c r="K11" s="57">
        <f t="shared" si="3"/>
        <v>0.78799999999999992</v>
      </c>
      <c r="L11" s="15">
        <v>7.0000000000000007E-2</v>
      </c>
      <c r="M11" s="15">
        <v>0.2</v>
      </c>
      <c r="N11" s="70">
        <f t="shared" si="4"/>
        <v>0.10208955223880598</v>
      </c>
      <c r="O11" s="53">
        <f t="shared" si="21"/>
        <v>58.149920440082823</v>
      </c>
      <c r="P11" s="25">
        <f t="shared" si="5"/>
        <v>4.5227920865513985E-2</v>
      </c>
      <c r="Q11" s="15">
        <f t="shared" si="6"/>
        <v>0.55555555555555558</v>
      </c>
      <c r="R11" s="15">
        <v>30.9</v>
      </c>
      <c r="S11" s="15">
        <v>0.30499999999999999</v>
      </c>
      <c r="T11" s="15">
        <f>(R11/100+S11)/2</f>
        <v>0.307</v>
      </c>
      <c r="U11" s="15"/>
      <c r="V11" s="15">
        <v>0.54</v>
      </c>
      <c r="W11" s="25">
        <f>(V11+K11)/2</f>
        <v>0.66399999999999992</v>
      </c>
      <c r="X11" s="15">
        <f>47/119</f>
        <v>0.3949579831932773</v>
      </c>
      <c r="Y11" s="15">
        <f>X11</f>
        <v>0.3949579831932773</v>
      </c>
      <c r="Z11" s="25">
        <f t="shared" si="22"/>
        <v>2.1358518203975017</v>
      </c>
      <c r="AA11" s="15">
        <v>34.1</v>
      </c>
      <c r="AB11" s="15">
        <v>5.9</v>
      </c>
      <c r="AC11" s="15">
        <v>3.27</v>
      </c>
      <c r="AD11" s="75"/>
      <c r="AE11" s="15">
        <v>4.09</v>
      </c>
      <c r="AF11" s="131">
        <f t="shared" si="7"/>
        <v>3.6730090157187145E-2</v>
      </c>
      <c r="AG11" s="53">
        <v>1</v>
      </c>
      <c r="AH11" s="53">
        <v>27</v>
      </c>
      <c r="AI11" s="57">
        <f t="shared" si="8"/>
        <v>1.3794515863981765E-2</v>
      </c>
      <c r="AJ11" s="57">
        <f t="shared" si="9"/>
        <v>2.0455648258171952E-3</v>
      </c>
      <c r="AK11" s="57">
        <f t="shared" si="10"/>
        <v>9.3024999999999997E-2</v>
      </c>
      <c r="AL11" s="53">
        <f t="shared" si="11"/>
        <v>0.18498219633995219</v>
      </c>
      <c r="AM11" s="53">
        <f t="shared" si="12"/>
        <v>16.728099999999998</v>
      </c>
      <c r="AN11" s="80">
        <f t="shared" si="13"/>
        <v>0.10553181535286595</v>
      </c>
      <c r="AO11" s="80">
        <f t="shared" si="14"/>
        <v>5.4444444444444429</v>
      </c>
      <c r="AP11" s="145">
        <f t="shared" si="15"/>
        <v>9.6600137113402193E-2</v>
      </c>
      <c r="AQ11" s="145">
        <f t="shared" si="16"/>
        <v>4.5618629986953216</v>
      </c>
      <c r="AR11" s="100">
        <f t="shared" si="17"/>
        <v>0.14789530123023073</v>
      </c>
      <c r="AS11" s="100">
        <f t="shared" si="18"/>
        <v>10.6929</v>
      </c>
      <c r="AT11" s="25">
        <f t="shared" si="19"/>
        <v>3.8498307760197935E-2</v>
      </c>
      <c r="AU11" s="25">
        <f t="shared" si="20"/>
        <v>0.72455278937777756</v>
      </c>
      <c r="AV11" s="53">
        <f>AA11*P11</f>
        <v>1.542272101514027</v>
      </c>
      <c r="AW11" s="53">
        <f>AA11^2</f>
        <v>1162.8100000000002</v>
      </c>
      <c r="AX11" s="100">
        <f>P11*R11</f>
        <v>1.3975427547443822</v>
      </c>
      <c r="AY11" s="100">
        <f>R11*R11</f>
        <v>954.81</v>
      </c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</row>
    <row r="12" spans="1:96" s="70" customFormat="1" ht="14">
      <c r="A12" s="54" t="s">
        <v>12</v>
      </c>
      <c r="B12" s="55">
        <v>1</v>
      </c>
      <c r="C12" s="55">
        <v>1</v>
      </c>
      <c r="D12" s="56" t="s">
        <v>8</v>
      </c>
      <c r="E12" s="57">
        <f t="shared" si="0"/>
        <v>1</v>
      </c>
      <c r="F12" s="57">
        <v>25.4</v>
      </c>
      <c r="G12" s="57">
        <f t="shared" si="1"/>
        <v>0.95241333333333311</v>
      </c>
      <c r="H12" s="57">
        <f t="shared" si="23"/>
        <v>0.85120666666666656</v>
      </c>
      <c r="I12" s="57">
        <v>0.75</v>
      </c>
      <c r="J12" s="57">
        <f t="shared" si="2"/>
        <v>7.7999999999999958E-2</v>
      </c>
      <c r="K12" s="57">
        <f t="shared" si="3"/>
        <v>0.10399999999999994</v>
      </c>
      <c r="L12" s="57">
        <v>1.31</v>
      </c>
      <c r="M12" s="57">
        <v>0.6</v>
      </c>
      <c r="N12" s="57">
        <f t="shared" si="4"/>
        <v>0.33910447761194029</v>
      </c>
      <c r="O12" s="57">
        <f t="shared" si="21"/>
        <v>3.6484818307161606</v>
      </c>
      <c r="P12" s="57">
        <f t="shared" si="5"/>
        <v>0.7208477723140414</v>
      </c>
      <c r="Q12" s="57">
        <f t="shared" si="6"/>
        <v>1</v>
      </c>
      <c r="R12" s="57">
        <v>30.5</v>
      </c>
      <c r="S12" s="57">
        <f>1-0.937</f>
        <v>6.2999999999999945E-2</v>
      </c>
      <c r="T12" s="57">
        <f>(R12/100+S12)/2</f>
        <v>0.18399999999999997</v>
      </c>
      <c r="U12" s="57">
        <v>0.30299999999999999</v>
      </c>
      <c r="V12" s="57">
        <v>0.82</v>
      </c>
      <c r="W12" s="57">
        <f>(V12+U12+J12)/3</f>
        <v>0.40033333333333337</v>
      </c>
      <c r="X12" s="57">
        <f>22/112</f>
        <v>0.19642857142857142</v>
      </c>
      <c r="Y12" s="57">
        <f>X12</f>
        <v>0.19642857142857142</v>
      </c>
      <c r="Z12" s="57">
        <f t="shared" si="22"/>
        <v>2.1831349729371716</v>
      </c>
      <c r="AA12" s="57" t="s">
        <v>223</v>
      </c>
      <c r="AB12" s="57">
        <v>5</v>
      </c>
      <c r="AC12" s="57">
        <v>23</v>
      </c>
      <c r="AD12" s="57"/>
      <c r="AE12" s="57">
        <v>9.2200000000000006</v>
      </c>
      <c r="AF12" s="131">
        <f t="shared" si="7"/>
        <v>0.59836805395537462</v>
      </c>
      <c r="AG12" s="57">
        <v>1</v>
      </c>
      <c r="AH12" s="57">
        <v>44</v>
      </c>
      <c r="AI12" s="57">
        <f t="shared" si="8"/>
        <v>4.5413409655784567E-2</v>
      </c>
      <c r="AJ12" s="57">
        <f t="shared" si="9"/>
        <v>0.5196215108501161</v>
      </c>
      <c r="AK12" s="57">
        <f t="shared" si="10"/>
        <v>3.9689999999999934E-3</v>
      </c>
      <c r="AL12" s="53">
        <f t="shared" si="11"/>
        <v>6.6462164607354621</v>
      </c>
      <c r="AM12" s="53">
        <f t="shared" si="12"/>
        <v>85.008400000000009</v>
      </c>
      <c r="AN12" s="80">
        <f t="shared" si="13"/>
        <v>0.7208477723140414</v>
      </c>
      <c r="AO12" s="80">
        <f t="shared" si="14"/>
        <v>1</v>
      </c>
      <c r="AP12" s="145">
        <f t="shared" si="15"/>
        <v>1.5737079819026352</v>
      </c>
      <c r="AQ12" s="145">
        <f t="shared" si="16"/>
        <v>4.7660783100613848</v>
      </c>
      <c r="AR12" s="100">
        <f t="shared" si="17"/>
        <v>16.579498763222951</v>
      </c>
      <c r="AS12" s="100">
        <f t="shared" si="18"/>
        <v>529</v>
      </c>
      <c r="AT12" s="25">
        <f t="shared" si="19"/>
        <v>0.61359042944552744</v>
      </c>
      <c r="AU12" s="25">
        <f t="shared" si="20"/>
        <v>0.72455278937777756</v>
      </c>
      <c r="AV12" s="53"/>
      <c r="AW12" s="53"/>
      <c r="AX12" s="100">
        <f>P12*R12</f>
        <v>21.985857055578261</v>
      </c>
      <c r="AY12" s="100">
        <f>R12*R12</f>
        <v>930.25</v>
      </c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</row>
    <row r="13" spans="1:96" s="39" customFormat="1" ht="14">
      <c r="A13" s="46" t="s">
        <v>13</v>
      </c>
      <c r="B13" s="47">
        <v>1</v>
      </c>
      <c r="C13" s="47">
        <v>1</v>
      </c>
      <c r="D13" s="48" t="s">
        <v>8</v>
      </c>
      <c r="E13" s="49">
        <f t="shared" si="0"/>
        <v>1</v>
      </c>
      <c r="F13" s="49">
        <v>22</v>
      </c>
      <c r="G13" s="49">
        <f t="shared" si="1"/>
        <v>0.69106666666666672</v>
      </c>
      <c r="H13" s="49">
        <f t="shared" si="23"/>
        <v>0.72053333333333336</v>
      </c>
      <c r="I13" s="49">
        <v>0.75</v>
      </c>
      <c r="J13" s="49">
        <f t="shared" si="2"/>
        <v>0.15100000000000002</v>
      </c>
      <c r="K13" s="49">
        <f t="shared" si="3"/>
        <v>0.20133333333333336</v>
      </c>
      <c r="L13" s="49">
        <v>0.87</v>
      </c>
      <c r="M13" s="49">
        <v>0.4</v>
      </c>
      <c r="N13" s="49">
        <f t="shared" si="4"/>
        <v>0.22597014925373135</v>
      </c>
      <c r="O13" s="49">
        <f t="shared" si="21"/>
        <v>3.1513685409113048</v>
      </c>
      <c r="P13" s="49">
        <f t="shared" si="5"/>
        <v>0.83455805497108349</v>
      </c>
      <c r="Q13" s="49">
        <f t="shared" si="6"/>
        <v>1</v>
      </c>
      <c r="R13" s="49">
        <v>30.5</v>
      </c>
      <c r="S13" s="49">
        <f>1-0.851</f>
        <v>0.14900000000000002</v>
      </c>
      <c r="T13" s="49">
        <f>(R13/100+S13)/2</f>
        <v>0.22700000000000001</v>
      </c>
      <c r="U13" s="49">
        <v>0.72099999999999997</v>
      </c>
      <c r="V13" s="49">
        <v>0.67</v>
      </c>
      <c r="W13" s="49">
        <f>(V13+U13+J13)/3</f>
        <v>0.51400000000000001</v>
      </c>
      <c r="X13" s="49">
        <f>-3/108</f>
        <v>-2.7777777777777776E-2</v>
      </c>
      <c r="Y13" s="49">
        <f>X13</f>
        <v>-2.7777777777777776E-2</v>
      </c>
      <c r="Z13" s="49">
        <f t="shared" si="22"/>
        <v>2.0405558010074905</v>
      </c>
      <c r="AA13" s="49">
        <v>6</v>
      </c>
      <c r="AB13" s="49">
        <v>5.4</v>
      </c>
      <c r="AC13" s="49">
        <v>8.4499999999999993</v>
      </c>
      <c r="AD13" s="49"/>
      <c r="AE13" s="49">
        <v>8.49</v>
      </c>
      <c r="AF13" s="131">
        <f t="shared" si="7"/>
        <v>0.64751417503755615</v>
      </c>
      <c r="AG13" s="49">
        <v>1</v>
      </c>
      <c r="AH13" s="49">
        <v>23</v>
      </c>
      <c r="AI13" s="57">
        <f t="shared" si="8"/>
        <v>0.12434915019069145</v>
      </c>
      <c r="AJ13" s="57">
        <f t="shared" si="9"/>
        <v>0.69648714711711801</v>
      </c>
      <c r="AK13" s="57">
        <f t="shared" si="10"/>
        <v>2.2201000000000005E-2</v>
      </c>
      <c r="AL13" s="53">
        <f t="shared" si="11"/>
        <v>7.0853978867044987</v>
      </c>
      <c r="AM13" s="53">
        <f t="shared" si="12"/>
        <v>72.080100000000002</v>
      </c>
      <c r="AN13" s="80">
        <f t="shared" si="13"/>
        <v>0.83455805497108349</v>
      </c>
      <c r="AO13" s="80">
        <f t="shared" si="14"/>
        <v>1</v>
      </c>
      <c r="AP13" s="145">
        <f t="shared" si="15"/>
        <v>1.7029622803487725</v>
      </c>
      <c r="AQ13" s="145">
        <f t="shared" si="16"/>
        <v>4.1638679770253209</v>
      </c>
      <c r="AR13" s="100">
        <f t="shared" si="17"/>
        <v>7.0520155645056546</v>
      </c>
      <c r="AS13" s="100">
        <f t="shared" si="18"/>
        <v>71.402499999999989</v>
      </c>
      <c r="AT13" s="25">
        <f t="shared" si="19"/>
        <v>0.60132689720849808</v>
      </c>
      <c r="AU13" s="25">
        <f t="shared" si="20"/>
        <v>0.51916828444444452</v>
      </c>
      <c r="AV13" s="53">
        <f>AA13*P13</f>
        <v>5.0073483298265007</v>
      </c>
      <c r="AW13" s="53">
        <f>AA13^2</f>
        <v>36</v>
      </c>
      <c r="AX13" s="100">
        <f>P13*R13</f>
        <v>25.454020676618047</v>
      </c>
      <c r="AY13" s="100">
        <f>R13*R13</f>
        <v>930.25</v>
      </c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</row>
    <row r="14" spans="1:96" s="39" customFormat="1" ht="14">
      <c r="A14" s="16" t="s">
        <v>14</v>
      </c>
      <c r="B14" s="14">
        <v>6</v>
      </c>
      <c r="C14" s="14">
        <v>5</v>
      </c>
      <c r="D14" s="22" t="s">
        <v>4</v>
      </c>
      <c r="E14" s="15">
        <f t="shared" si="0"/>
        <v>2.5</v>
      </c>
      <c r="F14" s="15">
        <v>27.4</v>
      </c>
      <c r="G14" s="25">
        <f t="shared" si="1"/>
        <v>1.1061466666666666</v>
      </c>
      <c r="H14" s="15">
        <f t="shared" si="23"/>
        <v>0.92807333333333331</v>
      </c>
      <c r="I14" s="15">
        <v>0.75</v>
      </c>
      <c r="J14" s="25">
        <f t="shared" si="2"/>
        <v>0.68500000000000005</v>
      </c>
      <c r="K14" s="57">
        <f t="shared" si="3"/>
        <v>0.91333333333333344</v>
      </c>
      <c r="L14" s="15">
        <v>0.09</v>
      </c>
      <c r="M14" s="15">
        <v>0.2</v>
      </c>
      <c r="N14" s="70">
        <f t="shared" si="4"/>
        <v>0.10268656716417911</v>
      </c>
      <c r="O14" s="53">
        <f t="shared" si="21"/>
        <v>129.05427916407677</v>
      </c>
      <c r="P14" s="25">
        <f t="shared" si="5"/>
        <v>2.0379022044331251E-2</v>
      </c>
      <c r="Q14" s="15">
        <f t="shared" si="6"/>
        <v>0.5</v>
      </c>
      <c r="R14" s="15">
        <v>33.5</v>
      </c>
      <c r="S14" s="15">
        <f>1-0.713</f>
        <v>0.28700000000000003</v>
      </c>
      <c r="T14" s="15">
        <f>(R14/100+S14)/2</f>
        <v>0.31100000000000005</v>
      </c>
      <c r="U14" s="15">
        <v>4.7E-2</v>
      </c>
      <c r="V14" s="15">
        <v>0.98</v>
      </c>
      <c r="W14" s="15">
        <f>(V14+U14+J14)/3</f>
        <v>0.57066666666666666</v>
      </c>
      <c r="X14" s="15">
        <f>-92/214</f>
        <v>-0.42990654205607476</v>
      </c>
      <c r="Y14" s="15">
        <f>X14</f>
        <v>-0.42990654205607476</v>
      </c>
      <c r="Z14" s="25">
        <f t="shared" si="22"/>
        <v>1.2534253233187707</v>
      </c>
      <c r="AA14" s="15">
        <v>11</v>
      </c>
      <c r="AB14" s="15">
        <v>1</v>
      </c>
      <c r="AC14" s="15">
        <v>9.23</v>
      </c>
      <c r="AD14" s="75"/>
      <c r="AE14" s="15">
        <v>3.15</v>
      </c>
      <c r="AF14" s="131">
        <f t="shared" si="7"/>
        <v>9.7123887052609336E-3</v>
      </c>
      <c r="AG14" s="15">
        <v>1</v>
      </c>
      <c r="AH14" s="15">
        <v>27</v>
      </c>
      <c r="AI14" s="57">
        <f t="shared" si="8"/>
        <v>5.8487793267230697E-3</v>
      </c>
      <c r="AJ14" s="57">
        <f t="shared" si="9"/>
        <v>4.1530453948333904E-4</v>
      </c>
      <c r="AK14" s="57">
        <f t="shared" si="10"/>
        <v>8.2369000000000026E-2</v>
      </c>
      <c r="AL14" s="53">
        <f t="shared" si="11"/>
        <v>6.4193919439643435E-2</v>
      </c>
      <c r="AM14" s="53">
        <f t="shared" si="12"/>
        <v>9.9224999999999994</v>
      </c>
      <c r="AN14" s="80">
        <f t="shared" si="13"/>
        <v>5.094755511082813E-2</v>
      </c>
      <c r="AO14" s="80">
        <f t="shared" si="14"/>
        <v>6.25</v>
      </c>
      <c r="AP14" s="145">
        <f t="shared" si="15"/>
        <v>2.5543582294836251E-2</v>
      </c>
      <c r="AQ14" s="145">
        <f t="shared" si="16"/>
        <v>1.5710750411367647</v>
      </c>
      <c r="AR14" s="100">
        <f t="shared" si="17"/>
        <v>0.18809837346917746</v>
      </c>
      <c r="AS14" s="100">
        <f t="shared" si="18"/>
        <v>85.192900000000009</v>
      </c>
      <c r="AT14" s="25">
        <f t="shared" si="19"/>
        <v>1.8913226918755983E-2</v>
      </c>
      <c r="AU14" s="25">
        <f t="shared" si="20"/>
        <v>0.86132011204444436</v>
      </c>
      <c r="AV14" s="53">
        <f>AA14*P14</f>
        <v>0.22416924248764375</v>
      </c>
      <c r="AW14" s="53">
        <f>AA14^2</f>
        <v>121</v>
      </c>
      <c r="AX14" s="100">
        <f>P14*R14</f>
        <v>0.68269723848509689</v>
      </c>
      <c r="AY14" s="100">
        <f>R14*R14</f>
        <v>1122.25</v>
      </c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</row>
    <row r="15" spans="1:96" s="13" customFormat="1" ht="14">
      <c r="A15" s="16" t="s">
        <v>15</v>
      </c>
      <c r="B15" s="14">
        <v>1</v>
      </c>
      <c r="C15" s="14">
        <v>1</v>
      </c>
      <c r="D15" s="22" t="s">
        <v>8</v>
      </c>
      <c r="E15" s="15">
        <f t="shared" si="0"/>
        <v>1</v>
      </c>
      <c r="F15" s="15">
        <v>27</v>
      </c>
      <c r="G15" s="25">
        <f t="shared" si="1"/>
        <v>1.0754000000000001</v>
      </c>
      <c r="H15" s="15">
        <f t="shared" si="23"/>
        <v>0.87270000000000003</v>
      </c>
      <c r="I15" s="15">
        <v>0.67</v>
      </c>
      <c r="J15" s="25">
        <f t="shared" si="2"/>
        <v>0.19000000000000006</v>
      </c>
      <c r="K15" s="57">
        <f t="shared" si="3"/>
        <v>0.25333333333333341</v>
      </c>
      <c r="L15" s="15">
        <v>0.08</v>
      </c>
      <c r="M15" s="15">
        <v>0.2</v>
      </c>
      <c r="N15" s="70">
        <f t="shared" si="4"/>
        <v>0.10238805970149255</v>
      </c>
      <c r="O15" s="53">
        <f t="shared" si="21"/>
        <v>3.4158330201239075</v>
      </c>
      <c r="P15" s="25">
        <f t="shared" si="5"/>
        <v>0.76994395935214599</v>
      </c>
      <c r="Q15" s="15">
        <f t="shared" si="6"/>
        <v>1</v>
      </c>
      <c r="R15" s="15"/>
      <c r="S15" s="15">
        <f>1-0.784</f>
        <v>0.21599999999999997</v>
      </c>
      <c r="T15" s="70">
        <f>S15</f>
        <v>0.21599999999999997</v>
      </c>
      <c r="U15" s="15"/>
      <c r="V15" s="15">
        <v>0.8</v>
      </c>
      <c r="W15" s="25">
        <f>(V15+K15)/2</f>
        <v>0.52666666666666673</v>
      </c>
      <c r="X15" s="15">
        <f>22/93</f>
        <v>0.23655913978494625</v>
      </c>
      <c r="Y15" s="15">
        <f>X15</f>
        <v>0.23655913978494625</v>
      </c>
      <c r="Z15" s="25">
        <f t="shared" si="22"/>
        <v>2.6623942353960262</v>
      </c>
      <c r="AA15" s="15">
        <v>9.3000000000000007</v>
      </c>
      <c r="AB15" s="15">
        <v>14.2</v>
      </c>
      <c r="AC15" s="15">
        <v>3.5000000000000003E-2</v>
      </c>
      <c r="AD15" s="75"/>
      <c r="AE15" s="108">
        <v>8.1</v>
      </c>
      <c r="AF15" s="131">
        <f t="shared" si="7"/>
        <v>0.77942751291146228</v>
      </c>
      <c r="AG15" s="15"/>
      <c r="AH15" s="15">
        <v>38</v>
      </c>
      <c r="AI15" s="57">
        <f t="shared" si="8"/>
        <v>0.16630789522006351</v>
      </c>
      <c r="AJ15" s="57">
        <f t="shared" si="9"/>
        <v>0.59281370054285909</v>
      </c>
      <c r="AK15" s="57">
        <f t="shared" si="10"/>
        <v>4.6655999999999989E-2</v>
      </c>
      <c r="AL15" s="53">
        <f t="shared" si="11"/>
        <v>6.2365460707523823</v>
      </c>
      <c r="AM15" s="53">
        <f t="shared" si="12"/>
        <v>65.61</v>
      </c>
      <c r="AN15" s="80">
        <f t="shared" si="13"/>
        <v>0.76994395935214599</v>
      </c>
      <c r="AO15" s="80">
        <f t="shared" si="14"/>
        <v>1</v>
      </c>
      <c r="AP15" s="145">
        <f t="shared" si="15"/>
        <v>2.0498943589571459</v>
      </c>
      <c r="AQ15" s="145">
        <f t="shared" si="16"/>
        <v>7.0883430646699903</v>
      </c>
      <c r="AR15" s="100">
        <f t="shared" si="17"/>
        <v>2.6948038577325112E-2</v>
      </c>
      <c r="AS15" s="100">
        <f t="shared" si="18"/>
        <v>1.2250000000000002E-3</v>
      </c>
      <c r="AT15" s="25">
        <f t="shared" si="19"/>
        <v>0.67193009332661779</v>
      </c>
      <c r="AU15" s="25">
        <f t="shared" si="20"/>
        <v>0.7616052900000001</v>
      </c>
      <c r="AV15" s="53">
        <f>AA15*P15</f>
        <v>7.1604788219749587</v>
      </c>
      <c r="AW15" s="53">
        <f>AA15^2</f>
        <v>86.490000000000009</v>
      </c>
      <c r="AX15" s="100"/>
      <c r="AY15" s="100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</row>
    <row r="16" spans="1:96" s="25" customFormat="1" ht="14">
      <c r="A16" s="42" t="s">
        <v>16</v>
      </c>
      <c r="B16" s="43">
        <v>6</v>
      </c>
      <c r="C16" s="43">
        <v>5</v>
      </c>
      <c r="D16" s="44" t="s">
        <v>4</v>
      </c>
      <c r="E16" s="45">
        <f t="shared" si="0"/>
        <v>2.5</v>
      </c>
      <c r="F16" s="45"/>
      <c r="G16" s="45">
        <f t="shared" si="1"/>
        <v>-1</v>
      </c>
      <c r="H16" s="45">
        <v>0.75</v>
      </c>
      <c r="I16" s="45">
        <v>0.75</v>
      </c>
      <c r="J16" s="45">
        <f t="shared" si="2"/>
        <v>0.65100000000000002</v>
      </c>
      <c r="K16" s="45">
        <f t="shared" si="3"/>
        <v>0.86799999999999999</v>
      </c>
      <c r="L16" s="45">
        <v>0.08</v>
      </c>
      <c r="M16" s="45">
        <v>0.2</v>
      </c>
      <c r="N16" s="45">
        <f t="shared" si="4"/>
        <v>0.10238805970149255</v>
      </c>
      <c r="O16" s="45">
        <f t="shared" si="21"/>
        <v>73.771328193410838</v>
      </c>
      <c r="P16" s="45">
        <f t="shared" si="5"/>
        <v>3.5650706912918349E-2</v>
      </c>
      <c r="Q16" s="45">
        <f t="shared" si="6"/>
        <v>0.5</v>
      </c>
      <c r="R16" s="45"/>
      <c r="S16" s="45">
        <f>1-0.801</f>
        <v>0.19899999999999995</v>
      </c>
      <c r="T16" s="70">
        <f>S16</f>
        <v>0.19899999999999995</v>
      </c>
      <c r="U16" s="45">
        <v>0.753</v>
      </c>
      <c r="V16" s="45">
        <v>0.85</v>
      </c>
      <c r="W16" s="45">
        <f>(V16+U16+J16)/3</f>
        <v>0.7513333333333333</v>
      </c>
      <c r="X16" s="45" t="s">
        <v>225</v>
      </c>
      <c r="Y16" s="45">
        <v>0.1</v>
      </c>
      <c r="Z16" s="45">
        <f t="shared" si="22"/>
        <v>1.6907406150003872</v>
      </c>
      <c r="AA16" s="45" t="s">
        <v>223</v>
      </c>
      <c r="AB16" s="45">
        <v>15</v>
      </c>
      <c r="AC16" s="45">
        <v>1.234</v>
      </c>
      <c r="AD16" s="45"/>
      <c r="AE16" s="45">
        <v>3.49</v>
      </c>
      <c r="AF16" s="131">
        <f t="shared" si="7"/>
        <v>2.2918668490930084E-2</v>
      </c>
      <c r="AG16" s="81">
        <v>1</v>
      </c>
      <c r="AH16" s="81">
        <v>18</v>
      </c>
      <c r="AI16" s="57">
        <f t="shared" si="8"/>
        <v>7.0944906756707496E-3</v>
      </c>
      <c r="AJ16" s="57">
        <f t="shared" si="9"/>
        <v>1.2709729033908042E-3</v>
      </c>
      <c r="AK16" s="57">
        <f t="shared" si="10"/>
        <v>3.9600999999999983E-2</v>
      </c>
      <c r="AL16" s="53">
        <f t="shared" si="11"/>
        <v>0.12442096712608505</v>
      </c>
      <c r="AM16" s="53">
        <f t="shared" si="12"/>
        <v>12.180100000000001</v>
      </c>
      <c r="AN16" s="80">
        <f t="shared" si="13"/>
        <v>8.9126767282295877E-2</v>
      </c>
      <c r="AO16" s="80">
        <f t="shared" si="14"/>
        <v>6.25</v>
      </c>
      <c r="AP16" s="145">
        <f t="shared" si="15"/>
        <v>6.0276098131146122E-2</v>
      </c>
      <c r="AQ16" s="145">
        <f t="shared" si="16"/>
        <v>2.8586038272118874</v>
      </c>
      <c r="AR16" s="100">
        <f t="shared" si="17"/>
        <v>4.3992972330541245E-2</v>
      </c>
      <c r="AS16" s="100">
        <f t="shared" si="18"/>
        <v>1.522756</v>
      </c>
      <c r="AT16" s="25">
        <f t="shared" si="19"/>
        <v>2.673803018468876E-2</v>
      </c>
      <c r="AU16" s="25">
        <f t="shared" si="20"/>
        <v>0.5625</v>
      </c>
      <c r="AV16" s="53"/>
      <c r="AW16" s="53"/>
      <c r="AX16" s="100"/>
      <c r="AY16" s="100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</row>
    <row r="17" spans="1:96" s="15" customFormat="1" ht="14">
      <c r="A17" s="26" t="s">
        <v>17</v>
      </c>
      <c r="B17" s="24">
        <v>3</v>
      </c>
      <c r="C17" s="24">
        <v>4</v>
      </c>
      <c r="D17" s="27" t="s">
        <v>3</v>
      </c>
      <c r="E17" s="25">
        <f t="shared" si="0"/>
        <v>1.8333333333333335</v>
      </c>
      <c r="F17" s="25">
        <v>26.6</v>
      </c>
      <c r="G17" s="25">
        <f t="shared" si="1"/>
        <v>1.0446533333333337</v>
      </c>
      <c r="H17" s="25">
        <f>(G17+I17)/2</f>
        <v>0.89732666666666683</v>
      </c>
      <c r="I17" s="123">
        <f>3/4</f>
        <v>0.75</v>
      </c>
      <c r="J17" s="25">
        <f t="shared" si="2"/>
        <v>0.41300000000000003</v>
      </c>
      <c r="K17" s="25">
        <f t="shared" si="3"/>
        <v>0.55066666666666675</v>
      </c>
      <c r="L17" s="25">
        <v>0.24</v>
      </c>
      <c r="M17" s="25">
        <v>0.2</v>
      </c>
      <c r="N17" s="25">
        <f t="shared" si="4"/>
        <v>0.10716417910447762</v>
      </c>
      <c r="O17" s="25">
        <f t="shared" si="21"/>
        <v>17.307191454435369</v>
      </c>
      <c r="P17" s="25">
        <f t="shared" si="5"/>
        <v>0.15195995300127113</v>
      </c>
      <c r="Q17" s="25">
        <f t="shared" si="6"/>
        <v>0.7222222222222221</v>
      </c>
      <c r="R17" s="25">
        <v>33.5</v>
      </c>
      <c r="S17" s="25">
        <f>1-0.469</f>
        <v>0.53100000000000003</v>
      </c>
      <c r="T17" s="25">
        <f>(R17/100+S17)/2</f>
        <v>0.43300000000000005</v>
      </c>
      <c r="U17" s="25">
        <v>0.36699999999999999</v>
      </c>
      <c r="V17" s="25">
        <f>1-0.63</f>
        <v>0.37</v>
      </c>
      <c r="W17" s="25">
        <f>(V17+U17+J17)/3</f>
        <v>0.3833333333333333</v>
      </c>
      <c r="X17" s="25">
        <f>-23/135</f>
        <v>-0.17037037037037037</v>
      </c>
      <c r="Y17" s="25">
        <f>X17</f>
        <v>-0.17037037037037037</v>
      </c>
      <c r="Z17" s="25">
        <f t="shared" si="22"/>
        <v>1.5944499320771715</v>
      </c>
      <c r="AA17" s="25">
        <v>31.5</v>
      </c>
      <c r="AB17" s="25">
        <v>5</v>
      </c>
      <c r="AC17" s="25">
        <v>142</v>
      </c>
      <c r="AD17" s="25"/>
      <c r="AE17" s="25">
        <v>5.87</v>
      </c>
      <c r="AF17" s="131">
        <f t="shared" si="7"/>
        <v>9.2126439825599593E-2</v>
      </c>
      <c r="AG17" s="25">
        <v>1</v>
      </c>
      <c r="AH17" s="25">
        <v>16</v>
      </c>
      <c r="AI17" s="57">
        <f t="shared" si="8"/>
        <v>8.069073504367498E-2</v>
      </c>
      <c r="AJ17" s="57">
        <f t="shared" si="9"/>
        <v>2.309182731614853E-2</v>
      </c>
      <c r="AK17" s="57">
        <f t="shared" si="10"/>
        <v>0.28196100000000002</v>
      </c>
      <c r="AL17" s="53">
        <f t="shared" si="11"/>
        <v>0.89200492411746157</v>
      </c>
      <c r="AM17" s="53">
        <f t="shared" si="12"/>
        <v>34.456900000000005</v>
      </c>
      <c r="AN17" s="80">
        <f t="shared" si="13"/>
        <v>0.27859324716899708</v>
      </c>
      <c r="AO17" s="80">
        <f t="shared" si="14"/>
        <v>3.3611111111111116</v>
      </c>
      <c r="AP17" s="145">
        <f t="shared" si="15"/>
        <v>0.24229253674132692</v>
      </c>
      <c r="AQ17" s="145">
        <f t="shared" si="16"/>
        <v>2.5422705859008965</v>
      </c>
      <c r="AR17" s="100">
        <f t="shared" si="17"/>
        <v>21.578313326180499</v>
      </c>
      <c r="AS17" s="100">
        <f t="shared" si="18"/>
        <v>20164</v>
      </c>
      <c r="AT17" s="25">
        <f t="shared" si="19"/>
        <v>0.13635771809345398</v>
      </c>
      <c r="AU17" s="25">
        <f t="shared" si="20"/>
        <v>0.80519514671111136</v>
      </c>
      <c r="AV17" s="53">
        <f>AA17*P17</f>
        <v>4.7867385195400409</v>
      </c>
      <c r="AW17" s="53">
        <f>AA17^2</f>
        <v>992.25</v>
      </c>
      <c r="AX17" s="100">
        <f>P17*R17</f>
        <v>5.0906584255425829</v>
      </c>
      <c r="AY17" s="100">
        <f>R17*R17</f>
        <v>1122.25</v>
      </c>
    </row>
    <row r="18" spans="1:96" s="13" customFormat="1" ht="14">
      <c r="A18" s="16" t="s">
        <v>18</v>
      </c>
      <c r="B18" s="14">
        <v>1</v>
      </c>
      <c r="C18" s="14">
        <v>1</v>
      </c>
      <c r="D18" s="22" t="s">
        <v>8</v>
      </c>
      <c r="E18" s="15">
        <f t="shared" si="0"/>
        <v>1</v>
      </c>
      <c r="F18" s="15"/>
      <c r="G18" s="25">
        <f t="shared" si="1"/>
        <v>-1</v>
      </c>
      <c r="H18" s="15">
        <v>0.75</v>
      </c>
      <c r="I18" s="15">
        <v>0.75</v>
      </c>
      <c r="J18" s="25">
        <f t="shared" si="2"/>
        <v>0.19000000000000006</v>
      </c>
      <c r="K18" s="57">
        <f t="shared" si="3"/>
        <v>0.25333333333333341</v>
      </c>
      <c r="L18" s="15">
        <v>0.06</v>
      </c>
      <c r="M18" s="15">
        <v>0.2</v>
      </c>
      <c r="N18" s="70">
        <f t="shared" si="4"/>
        <v>0.1017910447761194</v>
      </c>
      <c r="O18" s="53">
        <f t="shared" si="21"/>
        <v>3.0196000175925524</v>
      </c>
      <c r="P18" s="25">
        <f t="shared" si="5"/>
        <v>0.87097628317568687</v>
      </c>
      <c r="Q18" s="15">
        <f t="shared" si="6"/>
        <v>1</v>
      </c>
      <c r="R18" s="15"/>
      <c r="S18" s="15">
        <f>1-0.788</f>
        <v>0.21199999999999997</v>
      </c>
      <c r="T18" s="70">
        <f>S18</f>
        <v>0.21199999999999997</v>
      </c>
      <c r="U18" s="15">
        <v>1.0389999999999999</v>
      </c>
      <c r="V18" s="15">
        <v>0.82</v>
      </c>
      <c r="W18" s="15">
        <f>(V18+U18+J18)/3</f>
        <v>0.68299999999999994</v>
      </c>
      <c r="X18" s="15" t="s">
        <v>223</v>
      </c>
      <c r="Y18" s="15">
        <v>0.1</v>
      </c>
      <c r="Z18" s="25">
        <f t="shared" si="22"/>
        <v>2.7047243412794519</v>
      </c>
      <c r="AA18" s="15" t="s">
        <v>223</v>
      </c>
      <c r="AB18" s="15">
        <v>12</v>
      </c>
      <c r="AC18" s="15">
        <v>2.7E-2</v>
      </c>
      <c r="AD18" s="75"/>
      <c r="AE18" s="108">
        <v>8.1</v>
      </c>
      <c r="AF18" s="131">
        <f t="shared" si="7"/>
        <v>0.89572272006934794</v>
      </c>
      <c r="AG18" s="15"/>
      <c r="AH18" s="39">
        <v>38</v>
      </c>
      <c r="AI18" s="57">
        <f t="shared" si="8"/>
        <v>0.18464697203324559</v>
      </c>
      <c r="AJ18" s="57">
        <f t="shared" si="9"/>
        <v>0.7585996858545343</v>
      </c>
      <c r="AK18" s="57">
        <f t="shared" si="10"/>
        <v>4.4943999999999984E-2</v>
      </c>
      <c r="AL18" s="53">
        <f t="shared" si="11"/>
        <v>7.0549078937230636</v>
      </c>
      <c r="AM18" s="53">
        <f t="shared" si="12"/>
        <v>65.61</v>
      </c>
      <c r="AN18" s="80">
        <f t="shared" si="13"/>
        <v>0.87097628317568687</v>
      </c>
      <c r="AO18" s="80">
        <f t="shared" si="14"/>
        <v>1</v>
      </c>
      <c r="AP18" s="145">
        <f t="shared" si="15"/>
        <v>2.355750753782385</v>
      </c>
      <c r="AQ18" s="145">
        <f t="shared" si="16"/>
        <v>7.3155337623095651</v>
      </c>
      <c r="AR18" s="100">
        <f t="shared" si="17"/>
        <v>2.3516359645743546E-2</v>
      </c>
      <c r="AS18" s="100">
        <f t="shared" si="18"/>
        <v>7.2899999999999994E-4</v>
      </c>
      <c r="AT18" s="25">
        <f t="shared" si="19"/>
        <v>0.6532322123817651</v>
      </c>
      <c r="AU18" s="25">
        <f t="shared" si="20"/>
        <v>0.5625</v>
      </c>
      <c r="AV18" s="53"/>
      <c r="AW18" s="53"/>
      <c r="AX18" s="100"/>
      <c r="AY18" s="100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</row>
    <row r="19" spans="1:96" s="13" customFormat="1" ht="14">
      <c r="A19" s="46" t="s">
        <v>19</v>
      </c>
      <c r="B19" s="47">
        <v>7</v>
      </c>
      <c r="C19" s="47">
        <v>6</v>
      </c>
      <c r="D19" s="48" t="s">
        <v>4</v>
      </c>
      <c r="E19" s="49">
        <f t="shared" si="0"/>
        <v>2.833333333333333</v>
      </c>
      <c r="F19" s="49">
        <v>21.9</v>
      </c>
      <c r="G19" s="49">
        <f t="shared" si="1"/>
        <v>0.68337999999999988</v>
      </c>
      <c r="H19" s="49">
        <f>(G19+I19)/2</f>
        <v>0.71668999999999994</v>
      </c>
      <c r="I19" s="49">
        <v>0.75</v>
      </c>
      <c r="J19" s="49">
        <f t="shared" si="2"/>
        <v>0.66600000000000004</v>
      </c>
      <c r="K19" s="49">
        <f t="shared" si="3"/>
        <v>0.88800000000000001</v>
      </c>
      <c r="L19" s="49">
        <v>0.18</v>
      </c>
      <c r="M19" s="49">
        <v>0.2</v>
      </c>
      <c r="N19" s="49">
        <f t="shared" si="4"/>
        <v>0.10537313432835821</v>
      </c>
      <c r="O19" s="49">
        <f t="shared" si="21"/>
        <v>127.12602033836606</v>
      </c>
      <c r="P19" s="49">
        <f t="shared" si="5"/>
        <v>2.068813287004374E-2</v>
      </c>
      <c r="Q19" s="49">
        <f t="shared" si="6"/>
        <v>0.38888888888888895</v>
      </c>
      <c r="R19" s="49">
        <v>27.2</v>
      </c>
      <c r="S19" s="49">
        <f>1-0.732</f>
        <v>0.26800000000000002</v>
      </c>
      <c r="T19" s="49">
        <f>(R19/100+S19)/2</f>
        <v>0.27</v>
      </c>
      <c r="U19" s="49"/>
      <c r="V19" s="49">
        <v>0.47</v>
      </c>
      <c r="W19" s="25">
        <f>(V19+K19)/2</f>
        <v>0.67900000000000005</v>
      </c>
      <c r="X19" s="49">
        <f>31/146</f>
        <v>0.21232876712328766</v>
      </c>
      <c r="Y19" s="49">
        <f>X19</f>
        <v>0.21232876712328766</v>
      </c>
      <c r="Z19" s="49">
        <f t="shared" si="22"/>
        <v>1.5708672476380694</v>
      </c>
      <c r="AA19" s="49">
        <v>27.1</v>
      </c>
      <c r="AB19" s="49">
        <v>1</v>
      </c>
      <c r="AC19" s="49">
        <v>9.4629999999999992</v>
      </c>
      <c r="AD19" s="49"/>
      <c r="AE19" s="49">
        <v>3.34</v>
      </c>
      <c r="AF19" s="131">
        <f t="shared" si="7"/>
        <v>1.2356771992523302E-2</v>
      </c>
      <c r="AG19" s="49">
        <v>1</v>
      </c>
      <c r="AH19" s="49">
        <v>27</v>
      </c>
      <c r="AI19" s="57">
        <f t="shared" si="8"/>
        <v>5.5444196091717227E-3</v>
      </c>
      <c r="AJ19" s="57">
        <f t="shared" si="9"/>
        <v>4.2799884164858423E-4</v>
      </c>
      <c r="AK19" s="57">
        <f t="shared" si="10"/>
        <v>7.1824000000000013E-2</v>
      </c>
      <c r="AL19" s="53">
        <f t="shared" si="11"/>
        <v>6.9098363785946082E-2</v>
      </c>
      <c r="AM19" s="53">
        <f t="shared" si="12"/>
        <v>11.1556</v>
      </c>
      <c r="AN19" s="80">
        <f t="shared" si="13"/>
        <v>5.8616376465123923E-2</v>
      </c>
      <c r="AO19" s="80">
        <f t="shared" si="14"/>
        <v>8.0277777777777768</v>
      </c>
      <c r="AP19" s="145">
        <f t="shared" si="15"/>
        <v>3.2498310340336282E-2</v>
      </c>
      <c r="AQ19" s="145">
        <f t="shared" si="16"/>
        <v>2.4676239097020036</v>
      </c>
      <c r="AR19" s="100">
        <f t="shared" si="17"/>
        <v>0.1957718013492239</v>
      </c>
      <c r="AS19" s="100">
        <f t="shared" si="18"/>
        <v>89.54836899999998</v>
      </c>
      <c r="AT19" s="25">
        <f t="shared" si="19"/>
        <v>1.4826977946631646E-2</v>
      </c>
      <c r="AU19" s="25">
        <f t="shared" si="20"/>
        <v>0.51364455609999993</v>
      </c>
      <c r="AV19" s="53">
        <f t="shared" ref="AV19:AV27" si="24">AA19*P19</f>
        <v>0.56064840077818534</v>
      </c>
      <c r="AW19" s="53">
        <f t="shared" ref="AW19:AW27" si="25">AA19^2</f>
        <v>734.41000000000008</v>
      </c>
      <c r="AX19" s="100">
        <f>P19*R19</f>
        <v>0.56271721406518971</v>
      </c>
      <c r="AY19" s="100">
        <f>R19*R19</f>
        <v>739.83999999999992</v>
      </c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</row>
    <row r="20" spans="1:96" s="25" customFormat="1" ht="14">
      <c r="A20" s="46" t="s">
        <v>20</v>
      </c>
      <c r="B20" s="47">
        <v>1</v>
      </c>
      <c r="C20" s="47">
        <v>1</v>
      </c>
      <c r="D20" s="48" t="s">
        <v>8</v>
      </c>
      <c r="E20" s="49">
        <f t="shared" si="0"/>
        <v>1</v>
      </c>
      <c r="F20" s="49">
        <v>28.4</v>
      </c>
      <c r="G20" s="49">
        <f t="shared" si="1"/>
        <v>1.1830133333333333</v>
      </c>
      <c r="H20" s="49">
        <f>(G20+I20)/2</f>
        <v>0.96650666666666663</v>
      </c>
      <c r="I20" s="49">
        <v>0.75</v>
      </c>
      <c r="J20" s="49">
        <f t="shared" si="2"/>
        <v>0.19499999999999995</v>
      </c>
      <c r="K20" s="49">
        <f t="shared" si="3"/>
        <v>0.25999999999999995</v>
      </c>
      <c r="L20" s="49">
        <v>1.86</v>
      </c>
      <c r="M20" s="49">
        <v>0.4</v>
      </c>
      <c r="N20" s="49">
        <f t="shared" si="4"/>
        <v>0.25552238805970151</v>
      </c>
      <c r="O20" s="49">
        <f t="shared" si="21"/>
        <v>4.4018682572519099</v>
      </c>
      <c r="P20" s="49">
        <f t="shared" si="5"/>
        <v>0.59747358310126053</v>
      </c>
      <c r="Q20" s="49">
        <f t="shared" si="6"/>
        <v>1</v>
      </c>
      <c r="R20" s="49">
        <v>28</v>
      </c>
      <c r="S20" s="49">
        <f>1-0.867</f>
        <v>0.13300000000000001</v>
      </c>
      <c r="T20" s="49">
        <f>(R20/100+S20)/2</f>
        <v>0.20650000000000002</v>
      </c>
      <c r="U20" s="49">
        <v>0.997</v>
      </c>
      <c r="V20" s="49">
        <v>0.8</v>
      </c>
      <c r="W20" s="49">
        <f>(V20+U20+J20)/3</f>
        <v>0.66400000000000003</v>
      </c>
      <c r="X20" s="49">
        <f>1/106</f>
        <v>9.433962264150943E-3</v>
      </c>
      <c r="Y20" s="49">
        <f>X20</f>
        <v>9.433962264150943E-3</v>
      </c>
      <c r="Z20" s="49">
        <f t="shared" si="22"/>
        <v>2.4107405013160692</v>
      </c>
      <c r="AA20" s="49">
        <v>15.2</v>
      </c>
      <c r="AB20" s="49">
        <v>7.7</v>
      </c>
      <c r="AC20" s="49">
        <v>10.89</v>
      </c>
      <c r="AD20" s="49"/>
      <c r="AE20" s="49">
        <v>8.0500000000000007</v>
      </c>
      <c r="AF20" s="131">
        <f t="shared" si="7"/>
        <v>0.54766302861165062</v>
      </c>
      <c r="AG20" s="49">
        <v>1</v>
      </c>
      <c r="AH20" s="49">
        <v>23</v>
      </c>
      <c r="AI20" s="57">
        <f t="shared" si="8"/>
        <v>7.9463986552467655E-2</v>
      </c>
      <c r="AJ20" s="57">
        <f t="shared" si="9"/>
        <v>0.35697468250385889</v>
      </c>
      <c r="AK20" s="57">
        <f t="shared" si="10"/>
        <v>1.7689000000000003E-2</v>
      </c>
      <c r="AL20" s="53">
        <f t="shared" si="11"/>
        <v>4.8096623439651474</v>
      </c>
      <c r="AM20" s="53">
        <f t="shared" si="12"/>
        <v>64.802500000000009</v>
      </c>
      <c r="AN20" s="80">
        <f t="shared" si="13"/>
        <v>0.59747358310126053</v>
      </c>
      <c r="AO20" s="80">
        <f t="shared" si="14"/>
        <v>1</v>
      </c>
      <c r="AP20" s="145">
        <f t="shared" si="15"/>
        <v>1.4403537652486409</v>
      </c>
      <c r="AQ20" s="145">
        <f t="shared" si="16"/>
        <v>5.8116697646856528</v>
      </c>
      <c r="AR20" s="100">
        <f t="shared" si="17"/>
        <v>6.5064873199727273</v>
      </c>
      <c r="AS20" s="100">
        <f t="shared" si="18"/>
        <v>118.59210000000002</v>
      </c>
      <c r="AT20" s="25">
        <f t="shared" si="19"/>
        <v>0.57746220122458891</v>
      </c>
      <c r="AU20" s="25">
        <f t="shared" si="20"/>
        <v>0.93413513671111104</v>
      </c>
      <c r="AV20" s="53">
        <f t="shared" si="24"/>
        <v>9.0815984631391604</v>
      </c>
      <c r="AW20" s="53">
        <f t="shared" si="25"/>
        <v>231.04</v>
      </c>
      <c r="AX20" s="100">
        <f>P20*R20</f>
        <v>16.729260326835295</v>
      </c>
      <c r="AY20" s="100">
        <f>R20*R20</f>
        <v>784</v>
      </c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</row>
    <row r="21" spans="1:96" s="13" customFormat="1" ht="14">
      <c r="A21" s="16" t="s">
        <v>21</v>
      </c>
      <c r="B21" s="14">
        <v>1</v>
      </c>
      <c r="C21" s="14">
        <v>2</v>
      </c>
      <c r="D21" s="22" t="s">
        <v>8</v>
      </c>
      <c r="E21" s="15">
        <f t="shared" si="0"/>
        <v>1.1666666666666667</v>
      </c>
      <c r="F21" s="15"/>
      <c r="G21" s="25">
        <f t="shared" si="1"/>
        <v>-1</v>
      </c>
      <c r="H21" s="15">
        <v>0.75</v>
      </c>
      <c r="I21" s="15">
        <v>0.75</v>
      </c>
      <c r="J21" s="25">
        <f t="shared" si="2"/>
        <v>0.39</v>
      </c>
      <c r="K21" s="57">
        <f t="shared" si="3"/>
        <v>0.52</v>
      </c>
      <c r="L21" s="15">
        <v>0.04</v>
      </c>
      <c r="M21" s="15">
        <v>0.2</v>
      </c>
      <c r="N21" s="70">
        <f t="shared" si="4"/>
        <v>0.10119402985074627</v>
      </c>
      <c r="O21" s="53">
        <f t="shared" si="21"/>
        <v>4.9516773024260212</v>
      </c>
      <c r="P21" s="25">
        <f t="shared" si="5"/>
        <v>0.53113315738718669</v>
      </c>
      <c r="Q21" s="15">
        <f t="shared" si="6"/>
        <v>0.94444444444444442</v>
      </c>
      <c r="R21" s="15"/>
      <c r="S21" s="15">
        <v>0.30599999999999999</v>
      </c>
      <c r="T21" s="70">
        <f>S21</f>
        <v>0.30599999999999999</v>
      </c>
      <c r="U21" s="15">
        <v>0.83599999999999997</v>
      </c>
      <c r="V21" s="15">
        <v>0.75</v>
      </c>
      <c r="W21" s="15">
        <f>(V21+U21+J21)/3</f>
        <v>0.65866666666666662</v>
      </c>
      <c r="X21" s="15">
        <f>7/112</f>
        <v>6.25E-2</v>
      </c>
      <c r="Y21" s="15">
        <f>X21</f>
        <v>6.25E-2</v>
      </c>
      <c r="Z21" s="25">
        <f t="shared" si="22"/>
        <v>2.6382131525656378</v>
      </c>
      <c r="AA21" s="15">
        <v>43</v>
      </c>
      <c r="AB21" s="15">
        <v>13.1</v>
      </c>
      <c r="AC21" s="15">
        <v>0.312</v>
      </c>
      <c r="AD21" s="75"/>
      <c r="AE21" s="108">
        <v>6.1</v>
      </c>
      <c r="AF21" s="131">
        <f t="shared" si="7"/>
        <v>0.53279181809223985</v>
      </c>
      <c r="AG21" s="15"/>
      <c r="AH21" s="105">
        <v>38</v>
      </c>
      <c r="AI21" s="57">
        <f t="shared" si="8"/>
        <v>0.16252674616047913</v>
      </c>
      <c r="AJ21" s="57">
        <f t="shared" si="9"/>
        <v>0.28210243087608206</v>
      </c>
      <c r="AK21" s="57">
        <f t="shared" si="10"/>
        <v>9.3635999999999997E-2</v>
      </c>
      <c r="AL21" s="53">
        <f t="shared" si="11"/>
        <v>3.2399122600618386</v>
      </c>
      <c r="AM21" s="53">
        <f t="shared" si="12"/>
        <v>37.209999999999994</v>
      </c>
      <c r="AN21" s="80">
        <f t="shared" si="13"/>
        <v>0.61965535028505114</v>
      </c>
      <c r="AO21" s="80">
        <f t="shared" si="14"/>
        <v>1.3611111111111114</v>
      </c>
      <c r="AP21" s="145">
        <f t="shared" si="15"/>
        <v>1.4012424815825908</v>
      </c>
      <c r="AQ21" s="145">
        <f t="shared" si="16"/>
        <v>6.9601686383703214</v>
      </c>
      <c r="AR21" s="100">
        <f t="shared" si="17"/>
        <v>0.16571354510480224</v>
      </c>
      <c r="AS21" s="100">
        <f t="shared" si="18"/>
        <v>9.7344E-2</v>
      </c>
      <c r="AT21" s="25">
        <f t="shared" si="19"/>
        <v>0.39834986804039002</v>
      </c>
      <c r="AU21" s="25">
        <f t="shared" si="20"/>
        <v>0.5625</v>
      </c>
      <c r="AV21" s="53">
        <f t="shared" si="24"/>
        <v>22.838725767649027</v>
      </c>
      <c r="AW21" s="53">
        <f t="shared" si="25"/>
        <v>1849</v>
      </c>
      <c r="AX21" s="100"/>
      <c r="AY21" s="100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</row>
    <row r="22" spans="1:96" s="13" customFormat="1" ht="14">
      <c r="A22" s="16" t="s">
        <v>22</v>
      </c>
      <c r="B22" s="14">
        <v>2</v>
      </c>
      <c r="C22" s="14">
        <v>2</v>
      </c>
      <c r="D22" s="22" t="s">
        <v>8</v>
      </c>
      <c r="E22" s="15">
        <f t="shared" si="0"/>
        <v>1.3333333333333333</v>
      </c>
      <c r="F22" s="15">
        <v>29</v>
      </c>
      <c r="G22" s="25">
        <f t="shared" si="1"/>
        <v>1.229133333333333</v>
      </c>
      <c r="H22" s="15">
        <f>(G22+I22)/2</f>
        <v>0.98956666666666648</v>
      </c>
      <c r="I22" s="15">
        <v>0.75</v>
      </c>
      <c r="J22" s="25">
        <f t="shared" si="2"/>
        <v>0.38300000000000001</v>
      </c>
      <c r="K22" s="57">
        <f t="shared" si="3"/>
        <v>0.51066666666666671</v>
      </c>
      <c r="L22" s="15">
        <v>0.05</v>
      </c>
      <c r="M22" s="15">
        <v>0.2</v>
      </c>
      <c r="N22" s="70">
        <f t="shared" si="4"/>
        <v>0.10149253731343284</v>
      </c>
      <c r="O22" s="53">
        <f t="shared" si="21"/>
        <v>8.4624141564740025</v>
      </c>
      <c r="P22" s="25">
        <f t="shared" si="5"/>
        <v>0.31078601819410723</v>
      </c>
      <c r="Q22" s="15">
        <f t="shared" si="6"/>
        <v>0.88888888888888895</v>
      </c>
      <c r="R22" s="15">
        <v>36.5</v>
      </c>
      <c r="S22" s="15">
        <v>0.56499999999999995</v>
      </c>
      <c r="T22" s="15">
        <f>(R22/100+S22)/2</f>
        <v>0.46499999999999997</v>
      </c>
      <c r="U22" s="15"/>
      <c r="V22" s="15">
        <v>0.62</v>
      </c>
      <c r="W22" s="25">
        <f>(V22+K22)/2</f>
        <v>0.56533333333333335</v>
      </c>
      <c r="X22" s="15" t="s">
        <v>225</v>
      </c>
      <c r="Y22" s="15">
        <v>0.1</v>
      </c>
      <c r="Z22" s="25">
        <f t="shared" si="22"/>
        <v>2.7311990923751455</v>
      </c>
      <c r="AA22" s="15">
        <v>37.4</v>
      </c>
      <c r="AB22" s="15"/>
      <c r="AC22" s="15">
        <v>9</v>
      </c>
      <c r="AD22" s="75"/>
      <c r="AE22" s="15">
        <v>6.17</v>
      </c>
      <c r="AF22" s="131">
        <f t="shared" si="7"/>
        <v>0.32274467331354795</v>
      </c>
      <c r="AG22" s="15">
        <v>1</v>
      </c>
      <c r="AH22" s="15">
        <v>58</v>
      </c>
      <c r="AI22" s="57">
        <f t="shared" si="8"/>
        <v>0.17559410027967057</v>
      </c>
      <c r="AJ22" s="57">
        <f t="shared" si="9"/>
        <v>9.6587949104947946E-2</v>
      </c>
      <c r="AK22" s="57">
        <f t="shared" si="10"/>
        <v>0.31922499999999993</v>
      </c>
      <c r="AL22" s="53">
        <f t="shared" si="11"/>
        <v>1.9175497322576416</v>
      </c>
      <c r="AM22" s="53">
        <f t="shared" si="12"/>
        <v>38.068899999999999</v>
      </c>
      <c r="AN22" s="80">
        <f t="shared" si="13"/>
        <v>0.41438135759214295</v>
      </c>
      <c r="AO22" s="80">
        <f t="shared" si="14"/>
        <v>1.7777777777777777</v>
      </c>
      <c r="AP22" s="145">
        <f t="shared" si="15"/>
        <v>0.84881849081463112</v>
      </c>
      <c r="AQ22" s="145">
        <f t="shared" si="16"/>
        <v>7.459448482190818</v>
      </c>
      <c r="AR22" s="100">
        <f t="shared" si="17"/>
        <v>2.7970741637469652</v>
      </c>
      <c r="AS22" s="100">
        <f t="shared" si="18"/>
        <v>81</v>
      </c>
      <c r="AT22" s="25">
        <f t="shared" si="19"/>
        <v>0.30754348407094867</v>
      </c>
      <c r="AU22" s="25">
        <f t="shared" si="20"/>
        <v>0.97924218777777738</v>
      </c>
      <c r="AV22" s="53">
        <f t="shared" si="24"/>
        <v>11.623397080459609</v>
      </c>
      <c r="AW22" s="53">
        <f t="shared" si="25"/>
        <v>1398.76</v>
      </c>
      <c r="AX22" s="100">
        <f>P22*R22</f>
        <v>11.343689664084915</v>
      </c>
      <c r="AY22" s="100">
        <f>R22*R22</f>
        <v>1332.25</v>
      </c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</row>
    <row r="23" spans="1:96" s="39" customFormat="1" ht="14">
      <c r="A23" s="16" t="s">
        <v>23</v>
      </c>
      <c r="B23" s="14">
        <v>4</v>
      </c>
      <c r="C23" s="14">
        <v>5</v>
      </c>
      <c r="D23" s="22" t="s">
        <v>3</v>
      </c>
      <c r="E23" s="15">
        <f t="shared" si="0"/>
        <v>2.166666666666667</v>
      </c>
      <c r="F23" s="15">
        <v>37.6</v>
      </c>
      <c r="G23" s="25">
        <f t="shared" si="1"/>
        <v>1.8901866666666667</v>
      </c>
      <c r="H23" s="15">
        <f>(G23+I23)/2</f>
        <v>1.2800933333333333</v>
      </c>
      <c r="I23" s="15">
        <v>0.67</v>
      </c>
      <c r="J23" s="25">
        <f t="shared" si="2"/>
        <v>0.53200000000000003</v>
      </c>
      <c r="K23" s="57">
        <f t="shared" si="3"/>
        <v>0.70933333333333337</v>
      </c>
      <c r="L23" s="15">
        <v>0.03</v>
      </c>
      <c r="M23" s="15">
        <v>0.2</v>
      </c>
      <c r="N23" s="70">
        <f t="shared" si="4"/>
        <v>0.10089552238805971</v>
      </c>
      <c r="O23" s="53">
        <f t="shared" si="21"/>
        <v>92.668759529533503</v>
      </c>
      <c r="P23" s="25">
        <f t="shared" si="5"/>
        <v>2.8380653991184803E-2</v>
      </c>
      <c r="Q23" s="15">
        <f t="shared" si="6"/>
        <v>0.61111111111111094</v>
      </c>
      <c r="R23" s="15"/>
      <c r="S23" s="109">
        <v>0.53</v>
      </c>
      <c r="T23" s="70">
        <f>S23</f>
        <v>0.53</v>
      </c>
      <c r="U23" s="15">
        <v>0.78900000000000003</v>
      </c>
      <c r="V23" s="15">
        <v>0.19</v>
      </c>
      <c r="W23" s="15">
        <f>(V23+U23+J23)/3</f>
        <v>0.50366666666666671</v>
      </c>
      <c r="X23" s="15" t="s">
        <v>225</v>
      </c>
      <c r="Y23" s="15">
        <v>0.1</v>
      </c>
      <c r="Z23" s="25">
        <f t="shared" si="22"/>
        <v>1.9992983545780689</v>
      </c>
      <c r="AA23" s="15">
        <v>23.2</v>
      </c>
      <c r="AB23" s="15">
        <v>4</v>
      </c>
      <c r="AC23" s="15">
        <v>0.72</v>
      </c>
      <c r="AD23" s="75"/>
      <c r="AE23" s="15">
        <v>4.68</v>
      </c>
      <c r="AF23" s="131">
        <f t="shared" si="7"/>
        <v>2.1574674838944975E-2</v>
      </c>
      <c r="AG23" s="45">
        <v>1</v>
      </c>
      <c r="AH23" s="45">
        <v>16</v>
      </c>
      <c r="AI23" s="57">
        <f t="shared" si="8"/>
        <v>1.5041746615327947E-2</v>
      </c>
      <c r="AJ23" s="57">
        <f t="shared" si="9"/>
        <v>8.0546152096735394E-4</v>
      </c>
      <c r="AK23" s="57">
        <f t="shared" si="10"/>
        <v>0.28090000000000004</v>
      </c>
      <c r="AL23" s="53">
        <f t="shared" si="11"/>
        <v>0.13282146067874487</v>
      </c>
      <c r="AM23" s="53">
        <f t="shared" si="12"/>
        <v>21.902399999999997</v>
      </c>
      <c r="AN23" s="80">
        <f t="shared" si="13"/>
        <v>6.1491416980900417E-2</v>
      </c>
      <c r="AO23" s="80">
        <f t="shared" si="14"/>
        <v>4.6944444444444455</v>
      </c>
      <c r="AP23" s="145">
        <f t="shared" si="15"/>
        <v>5.6741394826425283E-2</v>
      </c>
      <c r="AQ23" s="145">
        <f t="shared" si="16"/>
        <v>3.9971939106185737</v>
      </c>
      <c r="AR23" s="100">
        <f t="shared" si="17"/>
        <v>2.0434070873653058E-2</v>
      </c>
      <c r="AS23" s="100">
        <f t="shared" si="18"/>
        <v>0.51839999999999997</v>
      </c>
      <c r="AT23" s="25">
        <f t="shared" si="19"/>
        <v>3.6329885969755726E-2</v>
      </c>
      <c r="AU23" s="25">
        <f t="shared" si="20"/>
        <v>1.6386389420444443</v>
      </c>
      <c r="AV23" s="53">
        <f t="shared" si="24"/>
        <v>0.65843117259548745</v>
      </c>
      <c r="AW23" s="53">
        <f t="shared" si="25"/>
        <v>538.24</v>
      </c>
      <c r="AX23" s="100"/>
      <c r="AY23" s="100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</row>
    <row r="24" spans="1:96" s="39" customFormat="1" ht="14">
      <c r="A24" s="137" t="s">
        <v>24</v>
      </c>
      <c r="B24" s="117">
        <v>3</v>
      </c>
      <c r="C24" s="117">
        <v>3</v>
      </c>
      <c r="D24" s="118" t="s">
        <v>3</v>
      </c>
      <c r="E24" s="107">
        <f t="shared" si="0"/>
        <v>1.6666666666666665</v>
      </c>
      <c r="F24" s="107">
        <v>45.5</v>
      </c>
      <c r="G24" s="107">
        <f t="shared" si="1"/>
        <v>2.4974333333333334</v>
      </c>
      <c r="H24" s="107">
        <f>(G24+I24)/2</f>
        <v>1.6237166666666667</v>
      </c>
      <c r="I24" s="107">
        <v>0.75</v>
      </c>
      <c r="J24" s="107">
        <f t="shared" si="2"/>
        <v>0.40800000000000003</v>
      </c>
      <c r="K24" s="107">
        <f t="shared" si="3"/>
        <v>0.54400000000000004</v>
      </c>
      <c r="L24" s="107">
        <v>0.1</v>
      </c>
      <c r="M24" s="107">
        <v>0.2</v>
      </c>
      <c r="N24" s="107">
        <f t="shared" si="4"/>
        <v>0.10298507462686568</v>
      </c>
      <c r="O24" s="107">
        <f t="shared" si="21"/>
        <v>44.013785961694744</v>
      </c>
      <c r="P24" s="107">
        <f t="shared" si="5"/>
        <v>5.9754005308447961E-2</v>
      </c>
      <c r="Q24" s="107">
        <f t="shared" si="6"/>
        <v>0.77777777777777779</v>
      </c>
      <c r="R24" s="107">
        <v>58.2</v>
      </c>
      <c r="S24" s="107">
        <v>0.35699999999999998</v>
      </c>
      <c r="T24" s="107">
        <f>(R24/100+S24)/2</f>
        <v>0.46950000000000003</v>
      </c>
      <c r="U24" s="107">
        <v>0.38</v>
      </c>
      <c r="V24" s="107">
        <v>0.5</v>
      </c>
      <c r="W24" s="107">
        <f>(V24+U24+J24)/3</f>
        <v>0.42933333333333334</v>
      </c>
      <c r="X24" s="107">
        <f>6/125</f>
        <v>4.8000000000000001E-2</v>
      </c>
      <c r="Y24" s="107">
        <f t="shared" ref="Y24:Y30" si="26">X24</f>
        <v>4.8000000000000001E-2</v>
      </c>
      <c r="Z24" s="107">
        <f t="shared" si="22"/>
        <v>2.0884578565227936</v>
      </c>
      <c r="AA24" s="107">
        <v>30.3</v>
      </c>
      <c r="AB24" s="107">
        <v>7.6</v>
      </c>
      <c r="AC24" s="107">
        <v>10.42</v>
      </c>
      <c r="AD24" s="107"/>
      <c r="AE24" s="107">
        <v>5.92</v>
      </c>
      <c r="AF24" s="131">
        <f t="shared" si="7"/>
        <v>4.745008435176154E-2</v>
      </c>
      <c r="AG24" s="107">
        <v>1</v>
      </c>
      <c r="AH24" s="107">
        <v>39</v>
      </c>
      <c r="AI24" s="57">
        <f t="shared" si="8"/>
        <v>2.1332179895115922E-2</v>
      </c>
      <c r="AJ24" s="57">
        <f t="shared" si="9"/>
        <v>3.5705411504020272E-3</v>
      </c>
      <c r="AK24" s="57">
        <f t="shared" si="10"/>
        <v>0.12744899999999998</v>
      </c>
      <c r="AL24" s="53">
        <f t="shared" si="11"/>
        <v>0.35374371142601191</v>
      </c>
      <c r="AM24" s="53">
        <f t="shared" si="12"/>
        <v>35.046399999999998</v>
      </c>
      <c r="AN24" s="80">
        <f t="shared" si="13"/>
        <v>9.9590008847413258E-2</v>
      </c>
      <c r="AO24" s="80">
        <f t="shared" si="14"/>
        <v>2.7777777777777772</v>
      </c>
      <c r="AP24" s="145">
        <f t="shared" si="15"/>
        <v>0.12479372184513286</v>
      </c>
      <c r="AQ24" s="145">
        <f t="shared" si="16"/>
        <v>4.3616562184717811</v>
      </c>
      <c r="AR24" s="100">
        <f t="shared" si="17"/>
        <v>0.62263673531402774</v>
      </c>
      <c r="AS24" s="100">
        <f t="shared" si="18"/>
        <v>108.57639999999999</v>
      </c>
      <c r="AT24" s="25">
        <f t="shared" si="19"/>
        <v>9.7023574319415426E-2</v>
      </c>
      <c r="AU24" s="25">
        <f t="shared" si="20"/>
        <v>2.6364558136111111</v>
      </c>
      <c r="AV24" s="53">
        <f t="shared" si="24"/>
        <v>1.8105463608459733</v>
      </c>
      <c r="AW24" s="53">
        <f t="shared" si="25"/>
        <v>918.09</v>
      </c>
      <c r="AX24" s="100">
        <f>P24*R24</f>
        <v>3.4776831089516715</v>
      </c>
      <c r="AY24" s="100">
        <f>R24*R24</f>
        <v>3387.2400000000002</v>
      </c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</row>
    <row r="25" spans="1:96" s="107" customFormat="1" ht="14">
      <c r="A25" s="46" t="s">
        <v>25</v>
      </c>
      <c r="B25" s="47">
        <v>4</v>
      </c>
      <c r="C25" s="47">
        <v>3</v>
      </c>
      <c r="D25" s="48" t="s">
        <v>3</v>
      </c>
      <c r="E25" s="49">
        <f t="shared" si="0"/>
        <v>1.8333333333333335</v>
      </c>
      <c r="F25" s="49">
        <v>27.3</v>
      </c>
      <c r="G25" s="49">
        <f t="shared" si="1"/>
        <v>1.0984600000000002</v>
      </c>
      <c r="H25" s="49">
        <f>(G25+I25)/2</f>
        <v>0.92423000000000011</v>
      </c>
      <c r="I25" s="49">
        <v>0.75</v>
      </c>
      <c r="J25" s="49">
        <f t="shared" si="2"/>
        <v>0.46799999999999997</v>
      </c>
      <c r="K25" s="49">
        <f t="shared" si="3"/>
        <v>0.624</v>
      </c>
      <c r="L25" s="49">
        <v>0.1</v>
      </c>
      <c r="M25" s="49">
        <v>0.2</v>
      </c>
      <c r="N25" s="49">
        <f t="shared" si="4"/>
        <v>0.10298507462686568</v>
      </c>
      <c r="O25" s="49">
        <f t="shared" si="21"/>
        <v>20.639931809733465</v>
      </c>
      <c r="P25" s="49">
        <f t="shared" si="5"/>
        <v>0.12742290159891581</v>
      </c>
      <c r="Q25" s="49">
        <f t="shared" si="6"/>
        <v>0.7222222222222221</v>
      </c>
      <c r="R25" s="49">
        <v>36.200000000000003</v>
      </c>
      <c r="S25" s="49">
        <f>0.29</f>
        <v>0.28999999999999998</v>
      </c>
      <c r="T25" s="49">
        <f>(R25/100+S25)/2</f>
        <v>0.32600000000000001</v>
      </c>
      <c r="U25" s="49">
        <v>0.44</v>
      </c>
      <c r="V25" s="49">
        <v>0.78</v>
      </c>
      <c r="W25" s="49">
        <f>(V25+U25+J25)/3</f>
        <v>0.56266666666666665</v>
      </c>
      <c r="X25" s="49">
        <f>-49/117</f>
        <v>-0.41880341880341881</v>
      </c>
      <c r="Y25" s="49">
        <f t="shared" si="26"/>
        <v>-0.41880341880341881</v>
      </c>
      <c r="Z25" s="49">
        <f t="shared" si="22"/>
        <v>1.4040286045572368</v>
      </c>
      <c r="AA25" s="49">
        <v>18.600000000000001</v>
      </c>
      <c r="AB25" s="49">
        <v>43.3</v>
      </c>
      <c r="AC25" s="49">
        <v>3.8</v>
      </c>
      <c r="AD25" s="49"/>
      <c r="AE25" s="49">
        <v>5.32</v>
      </c>
      <c r="AF25" s="131">
        <f t="shared" si="7"/>
        <v>6.8024866433672962E-2</v>
      </c>
      <c r="AG25" s="49">
        <v>1</v>
      </c>
      <c r="AH25" s="49">
        <v>29</v>
      </c>
      <c r="AI25" s="57">
        <f t="shared" si="8"/>
        <v>3.6952641463685584E-2</v>
      </c>
      <c r="AJ25" s="57">
        <f t="shared" si="9"/>
        <v>1.6236595851886981E-2</v>
      </c>
      <c r="AK25" s="57">
        <f t="shared" si="10"/>
        <v>8.4099999999999994E-2</v>
      </c>
      <c r="AL25" s="53">
        <f t="shared" si="11"/>
        <v>0.67788983650623214</v>
      </c>
      <c r="AM25" s="53">
        <f t="shared" si="12"/>
        <v>28.302400000000002</v>
      </c>
      <c r="AN25" s="80">
        <f t="shared" si="13"/>
        <v>0.23360865293134567</v>
      </c>
      <c r="AO25" s="80">
        <f t="shared" si="14"/>
        <v>3.3611111111111116</v>
      </c>
      <c r="AP25" s="145">
        <f t="shared" si="15"/>
        <v>0.17890539872055986</v>
      </c>
      <c r="AQ25" s="145">
        <f t="shared" si="16"/>
        <v>1.9712963224149416</v>
      </c>
      <c r="AR25" s="100">
        <f t="shared" si="17"/>
        <v>0.48420702607588006</v>
      </c>
      <c r="AS25" s="100">
        <f t="shared" si="18"/>
        <v>14.44</v>
      </c>
      <c r="AT25" s="25">
        <f t="shared" si="19"/>
        <v>0.11776806834476597</v>
      </c>
      <c r="AU25" s="25">
        <f t="shared" si="20"/>
        <v>0.85420109290000024</v>
      </c>
      <c r="AV25" s="53">
        <f t="shared" si="24"/>
        <v>2.3700659697398341</v>
      </c>
      <c r="AW25" s="53">
        <f t="shared" si="25"/>
        <v>345.96000000000004</v>
      </c>
      <c r="AX25" s="100">
        <f>P25*R25</f>
        <v>4.6127090378807525</v>
      </c>
      <c r="AY25" s="100">
        <f>R25*R25</f>
        <v>1310.4400000000003</v>
      </c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</row>
    <row r="26" spans="1:96" s="49" customFormat="1" ht="14">
      <c r="A26" s="16" t="s">
        <v>26</v>
      </c>
      <c r="B26" s="14">
        <v>3</v>
      </c>
      <c r="C26" s="14">
        <v>2</v>
      </c>
      <c r="D26" s="22" t="s">
        <v>8</v>
      </c>
      <c r="E26" s="15">
        <f t="shared" si="0"/>
        <v>1.5</v>
      </c>
      <c r="F26" s="15"/>
      <c r="G26" s="25">
        <f t="shared" si="1"/>
        <v>-1</v>
      </c>
      <c r="H26" s="15">
        <v>0.75</v>
      </c>
      <c r="I26" s="15">
        <v>0.75</v>
      </c>
      <c r="J26" s="25">
        <f t="shared" si="2"/>
        <v>0.23699999999999999</v>
      </c>
      <c r="K26" s="57">
        <f t="shared" si="3"/>
        <v>0.316</v>
      </c>
      <c r="L26" s="15">
        <v>0.06</v>
      </c>
      <c r="M26" s="15">
        <v>0.2</v>
      </c>
      <c r="N26" s="70">
        <f t="shared" si="4"/>
        <v>0.1017910447761194</v>
      </c>
      <c r="O26" s="53">
        <f t="shared" si="21"/>
        <v>5.7643163890341356</v>
      </c>
      <c r="P26" s="25">
        <f t="shared" si="5"/>
        <v>0.45625531676284004</v>
      </c>
      <c r="Q26" s="15">
        <f t="shared" si="6"/>
        <v>0.83333333333333337</v>
      </c>
      <c r="R26" s="15">
        <v>63</v>
      </c>
      <c r="S26" s="15">
        <v>0.36699999999999999</v>
      </c>
      <c r="T26" s="15">
        <f>(R26/100+S26)/2</f>
        <v>0.4985</v>
      </c>
      <c r="U26" s="15">
        <v>0.20300000000000001</v>
      </c>
      <c r="V26" s="15">
        <v>0.38</v>
      </c>
      <c r="W26" s="15">
        <f>(V26+U26+J26)/3</f>
        <v>0.27333333333333332</v>
      </c>
      <c r="X26" s="15">
        <f>59/115</f>
        <v>0.5130434782608696</v>
      </c>
      <c r="Y26" s="15">
        <f t="shared" si="26"/>
        <v>0.5130434782608696</v>
      </c>
      <c r="Z26" s="25">
        <f t="shared" si="22"/>
        <v>2.917510477198729</v>
      </c>
      <c r="AA26" s="15">
        <v>30.3</v>
      </c>
      <c r="AB26" s="15">
        <v>7.5</v>
      </c>
      <c r="AC26" s="15">
        <v>2</v>
      </c>
      <c r="AD26" s="75"/>
      <c r="AE26" s="15">
        <v>7.63</v>
      </c>
      <c r="AF26" s="131">
        <f t="shared" si="7"/>
        <v>0.50613295320654406</v>
      </c>
      <c r="AG26" s="15">
        <v>1</v>
      </c>
      <c r="AH26" s="15">
        <v>58</v>
      </c>
      <c r="AI26" s="57">
        <f t="shared" si="8"/>
        <v>0.16744570125196229</v>
      </c>
      <c r="AJ26" s="57">
        <f t="shared" si="9"/>
        <v>0.2081689140743595</v>
      </c>
      <c r="AK26" s="57">
        <f t="shared" si="10"/>
        <v>0.134689</v>
      </c>
      <c r="AL26" s="53">
        <f t="shared" si="11"/>
        <v>3.4812280669004694</v>
      </c>
      <c r="AM26" s="53">
        <f t="shared" si="12"/>
        <v>58.216899999999995</v>
      </c>
      <c r="AN26" s="80">
        <f t="shared" si="13"/>
        <v>0.68438297514426005</v>
      </c>
      <c r="AO26" s="80">
        <f t="shared" si="14"/>
        <v>2.25</v>
      </c>
      <c r="AP26" s="145">
        <f t="shared" si="15"/>
        <v>1.3311296669332107</v>
      </c>
      <c r="AQ26" s="145">
        <f t="shared" si="16"/>
        <v>8.511867384564356</v>
      </c>
      <c r="AR26" s="100">
        <f t="shared" si="17"/>
        <v>0.91251063352568007</v>
      </c>
      <c r="AS26" s="100">
        <f t="shared" si="18"/>
        <v>4</v>
      </c>
      <c r="AT26" s="25">
        <f t="shared" si="19"/>
        <v>0.34219148757213003</v>
      </c>
      <c r="AU26" s="25">
        <f t="shared" si="20"/>
        <v>0.5625</v>
      </c>
      <c r="AV26" s="53">
        <f t="shared" si="24"/>
        <v>13.824536097914054</v>
      </c>
      <c r="AW26" s="53">
        <f t="shared" si="25"/>
        <v>918.09</v>
      </c>
      <c r="AX26" s="100">
        <f>P26*R26</f>
        <v>28.744084956058924</v>
      </c>
      <c r="AY26" s="100">
        <f>R26*R26</f>
        <v>3969</v>
      </c>
    </row>
    <row r="27" spans="1:96" s="99" customFormat="1" ht="14">
      <c r="A27" s="96" t="s">
        <v>27</v>
      </c>
      <c r="B27" s="97">
        <v>2</v>
      </c>
      <c r="C27" s="97">
        <v>2</v>
      </c>
      <c r="D27" s="98" t="s">
        <v>8</v>
      </c>
      <c r="E27" s="99">
        <f t="shared" si="0"/>
        <v>1.3333333333333333</v>
      </c>
      <c r="F27" s="99">
        <v>42.5</v>
      </c>
      <c r="G27" s="99">
        <f t="shared" si="1"/>
        <v>2.266833333333333</v>
      </c>
      <c r="H27" s="99">
        <f>(G27+I27)/2</f>
        <v>1.6334166666666665</v>
      </c>
      <c r="I27" s="99">
        <v>1</v>
      </c>
      <c r="J27" s="99">
        <f t="shared" si="2"/>
        <v>0.28800000000000003</v>
      </c>
      <c r="K27" s="99">
        <f t="shared" si="3"/>
        <v>0.38400000000000006</v>
      </c>
      <c r="L27" s="99">
        <v>1.72</v>
      </c>
      <c r="M27" s="99">
        <v>0.6</v>
      </c>
      <c r="N27" s="99">
        <f t="shared" si="4"/>
        <v>0.35134328358208955</v>
      </c>
      <c r="O27" s="99">
        <f t="shared" si="21"/>
        <v>23.531656513655854</v>
      </c>
      <c r="P27" s="99">
        <f t="shared" si="5"/>
        <v>0.11176433747763412</v>
      </c>
      <c r="Q27" s="99">
        <f t="shared" si="6"/>
        <v>0.88888888888888895</v>
      </c>
      <c r="R27" s="99">
        <v>51.9</v>
      </c>
      <c r="S27" s="99">
        <v>0.30099999999999999</v>
      </c>
      <c r="T27" s="99">
        <f>(R27/100+S27)/2</f>
        <v>0.41000000000000003</v>
      </c>
      <c r="U27" s="99">
        <v>0.54400000000000004</v>
      </c>
      <c r="V27" s="99">
        <v>0.73</v>
      </c>
      <c r="W27" s="99">
        <f>(V27+U27+J27)/3</f>
        <v>0.52066666666666672</v>
      </c>
      <c r="X27" s="99">
        <f>75/124</f>
        <v>0.60483870967741937</v>
      </c>
      <c r="Y27" s="99">
        <f t="shared" si="26"/>
        <v>0.60483870967741937</v>
      </c>
      <c r="Z27" s="99">
        <f t="shared" si="22"/>
        <v>3.9153067069223009</v>
      </c>
      <c r="AA27" s="99">
        <v>26</v>
      </c>
      <c r="AB27" s="99">
        <v>6</v>
      </c>
      <c r="AC27" s="99">
        <v>192</v>
      </c>
      <c r="AE27" s="99">
        <v>7.12</v>
      </c>
      <c r="AF27" s="99">
        <f t="shared" si="7"/>
        <v>0.16638466164293092</v>
      </c>
      <c r="AG27" s="99">
        <v>1</v>
      </c>
      <c r="AH27" s="99">
        <v>39</v>
      </c>
      <c r="AI27" s="99">
        <f t="shared" si="8"/>
        <v>3.3641065580767869E-2</v>
      </c>
      <c r="AJ27" s="99">
        <f t="shared" si="9"/>
        <v>1.249126713181449E-2</v>
      </c>
      <c r="AK27" s="99">
        <f t="shared" si="10"/>
        <v>9.0600999999999987E-2</v>
      </c>
      <c r="AL27" s="99">
        <f t="shared" si="11"/>
        <v>0.79576208284075489</v>
      </c>
      <c r="AM27" s="99">
        <f t="shared" si="12"/>
        <v>50.694400000000002</v>
      </c>
      <c r="AN27" s="99">
        <f t="shared" si="13"/>
        <v>0.14901911663684547</v>
      </c>
      <c r="AO27" s="99">
        <f t="shared" si="14"/>
        <v>1.7777777777777777</v>
      </c>
      <c r="AP27" s="187">
        <f t="shared" si="15"/>
        <v>0.43759166012090833</v>
      </c>
      <c r="AQ27" s="187">
        <f t="shared" si="16"/>
        <v>15.329626609270752</v>
      </c>
      <c r="AR27" s="99">
        <f t="shared" si="17"/>
        <v>21.458752795705749</v>
      </c>
      <c r="AS27" s="99">
        <f t="shared" si="18"/>
        <v>36864</v>
      </c>
      <c r="AT27" s="99">
        <f t="shared" si="19"/>
        <v>0.18255773157492552</v>
      </c>
      <c r="AU27" s="99">
        <f t="shared" si="20"/>
        <v>2.6680500069444442</v>
      </c>
      <c r="AV27" s="99">
        <f t="shared" si="24"/>
        <v>2.9058727744184871</v>
      </c>
      <c r="AW27" s="99">
        <f t="shared" si="25"/>
        <v>676</v>
      </c>
      <c r="AX27" s="99">
        <f>P27*R27</f>
        <v>5.8005691150892105</v>
      </c>
      <c r="AY27" s="99">
        <f>R27*R27</f>
        <v>2693.6099999999997</v>
      </c>
    </row>
    <row r="28" spans="1:96" s="49" customFormat="1" ht="14">
      <c r="A28" s="16" t="s">
        <v>28</v>
      </c>
      <c r="B28" s="14">
        <v>6</v>
      </c>
      <c r="C28" s="14">
        <v>5</v>
      </c>
      <c r="D28" s="22" t="s">
        <v>4</v>
      </c>
      <c r="E28" s="15">
        <f t="shared" si="0"/>
        <v>2.5</v>
      </c>
      <c r="F28" s="15"/>
      <c r="G28" s="25">
        <f t="shared" si="1"/>
        <v>-1</v>
      </c>
      <c r="H28" s="15">
        <v>0.67</v>
      </c>
      <c r="I28" s="15">
        <v>0.67</v>
      </c>
      <c r="J28" s="25">
        <f t="shared" si="2"/>
        <v>0.64</v>
      </c>
      <c r="K28" s="57">
        <f t="shared" si="3"/>
        <v>0.85333333333333339</v>
      </c>
      <c r="L28" s="15">
        <v>1.1000000000000001</v>
      </c>
      <c r="M28" s="15">
        <v>0.2</v>
      </c>
      <c r="N28" s="70">
        <f t="shared" si="4"/>
        <v>0.1328358208955224</v>
      </c>
      <c r="O28" s="53">
        <f t="shared" si="21"/>
        <v>62.829385472657485</v>
      </c>
      <c r="P28" s="25">
        <f t="shared" si="5"/>
        <v>4.1859393979661652E-2</v>
      </c>
      <c r="Q28" s="15">
        <f t="shared" si="6"/>
        <v>0.5</v>
      </c>
      <c r="R28" s="15"/>
      <c r="S28" s="15">
        <f>1-0.805</f>
        <v>0.19499999999999995</v>
      </c>
      <c r="T28" s="70">
        <f>S28</f>
        <v>0.19499999999999995</v>
      </c>
      <c r="U28" s="15"/>
      <c r="V28" s="15">
        <v>0.72</v>
      </c>
      <c r="W28" s="25">
        <f>(V28+K28)/2</f>
        <v>0.78666666666666663</v>
      </c>
      <c r="X28" s="15">
        <f>24/101</f>
        <v>0.23762376237623761</v>
      </c>
      <c r="Y28" s="15">
        <f t="shared" si="26"/>
        <v>0.23762376237623761</v>
      </c>
      <c r="Z28" s="25">
        <f t="shared" si="22"/>
        <v>1.8397785562634568</v>
      </c>
      <c r="AA28" s="15" t="s">
        <v>223</v>
      </c>
      <c r="AB28" s="15">
        <v>2.7</v>
      </c>
      <c r="AC28" s="15">
        <v>0.42</v>
      </c>
      <c r="AD28" s="75"/>
      <c r="AE28" s="108">
        <v>3.6</v>
      </c>
      <c r="AF28" s="131">
        <f t="shared" si="7"/>
        <v>2.9282135141431614E-2</v>
      </c>
      <c r="AG28" s="57"/>
      <c r="AH28" s="57">
        <v>45</v>
      </c>
      <c r="AI28" s="57">
        <f t="shared" si="8"/>
        <v>8.1625818260340193E-3</v>
      </c>
      <c r="AJ28" s="57">
        <f t="shared" si="9"/>
        <v>1.7522088643445342E-3</v>
      </c>
      <c r="AK28" s="57">
        <f t="shared" si="10"/>
        <v>3.8024999999999982E-2</v>
      </c>
      <c r="AL28" s="53">
        <f t="shared" si="11"/>
        <v>0.15069381832678194</v>
      </c>
      <c r="AM28" s="53">
        <f t="shared" si="12"/>
        <v>12.96</v>
      </c>
      <c r="AN28" s="80">
        <f t="shared" si="13"/>
        <v>0.10464848494915413</v>
      </c>
      <c r="AO28" s="80">
        <f t="shared" si="14"/>
        <v>6.25</v>
      </c>
      <c r="AP28" s="145">
        <f t="shared" si="15"/>
        <v>7.7012015421965146E-2</v>
      </c>
      <c r="AQ28" s="145">
        <f t="shared" si="16"/>
        <v>3.3847851360868493</v>
      </c>
      <c r="AR28" s="100">
        <f t="shared" si="17"/>
        <v>1.7580945471457894E-2</v>
      </c>
      <c r="AS28" s="100">
        <f t="shared" si="18"/>
        <v>0.17639999999999997</v>
      </c>
      <c r="AT28" s="25">
        <f t="shared" si="19"/>
        <v>2.8045793966373307E-2</v>
      </c>
      <c r="AU28" s="25">
        <f t="shared" si="20"/>
        <v>0.44890000000000008</v>
      </c>
      <c r="AV28" s="53"/>
      <c r="AW28" s="53"/>
      <c r="AX28" s="100"/>
      <c r="AY28" s="100"/>
    </row>
    <row r="29" spans="1:96" s="39" customFormat="1" ht="14">
      <c r="A29" s="36" t="s">
        <v>29</v>
      </c>
      <c r="B29" s="37">
        <v>2</v>
      </c>
      <c r="C29" s="37">
        <v>2</v>
      </c>
      <c r="D29" s="38" t="s">
        <v>8</v>
      </c>
      <c r="E29" s="39">
        <f t="shared" si="0"/>
        <v>1.3333333333333333</v>
      </c>
      <c r="F29" s="39">
        <v>35.200000000000003</v>
      </c>
      <c r="G29" s="25">
        <f t="shared" si="1"/>
        <v>1.7057066666666669</v>
      </c>
      <c r="H29" s="39">
        <f t="shared" ref="H29:H46" si="27">(G29+I29)/2</f>
        <v>1.2278533333333335</v>
      </c>
      <c r="I29" s="39">
        <v>0.75</v>
      </c>
      <c r="J29" s="25">
        <f t="shared" si="2"/>
        <v>0.31600000000000006</v>
      </c>
      <c r="K29" s="57">
        <f t="shared" si="3"/>
        <v>0.42133333333333339</v>
      </c>
      <c r="L29" s="39">
        <v>0.28000000000000003</v>
      </c>
      <c r="M29" s="39">
        <v>0.2</v>
      </c>
      <c r="N29" s="70">
        <f t="shared" si="4"/>
        <v>0.10835820895522388</v>
      </c>
      <c r="O29" s="53">
        <f t="shared" si="21"/>
        <v>10.416521667483714</v>
      </c>
      <c r="P29" s="25">
        <f t="shared" si="5"/>
        <v>0.2524835145507186</v>
      </c>
      <c r="Q29" s="39">
        <f t="shared" si="6"/>
        <v>0.88888888888888895</v>
      </c>
      <c r="R29" s="39">
        <v>45.3</v>
      </c>
      <c r="S29" s="39">
        <f>1-0.743</f>
        <v>0.25700000000000001</v>
      </c>
      <c r="T29" s="39">
        <f>(R29/100+S29)/2</f>
        <v>0.35499999999999998</v>
      </c>
      <c r="U29" s="39">
        <v>0.17499999999999999</v>
      </c>
      <c r="V29" s="39">
        <v>0.78</v>
      </c>
      <c r="W29" s="39">
        <f>(V29+U29+J29)/3</f>
        <v>0.42366666666666669</v>
      </c>
      <c r="X29" s="39">
        <f>-29/114</f>
        <v>-0.25438596491228072</v>
      </c>
      <c r="Y29" s="39">
        <f t="shared" si="26"/>
        <v>-0.25438596491228072</v>
      </c>
      <c r="Z29" s="25">
        <f t="shared" si="22"/>
        <v>1.5936504901914195</v>
      </c>
      <c r="AA29" s="39">
        <v>21.8</v>
      </c>
      <c r="AB29" s="39">
        <v>8.8000000000000007</v>
      </c>
      <c r="AC29" s="39">
        <v>7.3</v>
      </c>
      <c r="AD29" s="75"/>
      <c r="AE29" s="39">
        <v>6.84</v>
      </c>
      <c r="AF29" s="131">
        <f t="shared" si="7"/>
        <v>0.15299257670304375</v>
      </c>
      <c r="AG29" s="70">
        <v>1</v>
      </c>
      <c r="AH29" s="70">
        <v>27</v>
      </c>
      <c r="AI29" s="57">
        <f t="shared" si="8"/>
        <v>6.4888263239534685E-2</v>
      </c>
      <c r="AJ29" s="57">
        <f t="shared" si="9"/>
        <v>6.3747925119882934E-2</v>
      </c>
      <c r="AK29" s="57">
        <f t="shared" si="10"/>
        <v>6.6048999999999997E-2</v>
      </c>
      <c r="AL29" s="53">
        <f t="shared" si="11"/>
        <v>1.7269872395269152</v>
      </c>
      <c r="AM29" s="53">
        <f t="shared" si="12"/>
        <v>46.785599999999995</v>
      </c>
      <c r="AN29" s="80">
        <f t="shared" si="13"/>
        <v>0.33664468606762477</v>
      </c>
      <c r="AO29" s="80">
        <f t="shared" si="14"/>
        <v>1.7777777777777777</v>
      </c>
      <c r="AP29" s="145">
        <f t="shared" si="15"/>
        <v>0.40237047672900511</v>
      </c>
      <c r="AQ29" s="145">
        <f t="shared" si="16"/>
        <v>2.5397218848873515</v>
      </c>
      <c r="AR29" s="100">
        <f t="shared" si="17"/>
        <v>1.8431296562202457</v>
      </c>
      <c r="AS29" s="100">
        <f t="shared" si="18"/>
        <v>53.29</v>
      </c>
      <c r="AT29" s="25">
        <f t="shared" si="19"/>
        <v>0.31001272495281501</v>
      </c>
      <c r="AU29" s="25">
        <f t="shared" si="20"/>
        <v>1.5076238081777782</v>
      </c>
      <c r="AV29" s="53">
        <f t="shared" ref="AV29:AV36" si="28">AA29*P29</f>
        <v>5.5041406172056657</v>
      </c>
      <c r="AW29" s="53">
        <f t="shared" ref="AW29:AW36" si="29">AA29^2</f>
        <v>475.24</v>
      </c>
      <c r="AX29" s="100">
        <f>P29*R29</f>
        <v>11.437503209147552</v>
      </c>
      <c r="AY29" s="100">
        <f>R29*R29</f>
        <v>2052.0899999999997</v>
      </c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</row>
    <row r="30" spans="1:96" s="39" customFormat="1" ht="14">
      <c r="A30" s="16" t="s">
        <v>30</v>
      </c>
      <c r="B30" s="14">
        <v>5</v>
      </c>
      <c r="C30" s="14">
        <v>3</v>
      </c>
      <c r="D30" s="22" t="s">
        <v>3</v>
      </c>
      <c r="E30" s="15">
        <f t="shared" si="0"/>
        <v>2</v>
      </c>
      <c r="F30" s="15">
        <v>32</v>
      </c>
      <c r="G30" s="25">
        <f t="shared" si="1"/>
        <v>1.4597333333333333</v>
      </c>
      <c r="H30" s="15">
        <f t="shared" si="27"/>
        <v>1.1048666666666667</v>
      </c>
      <c r="I30" s="15">
        <v>0.75</v>
      </c>
      <c r="J30" s="25">
        <f t="shared" si="2"/>
        <v>0.64100000000000001</v>
      </c>
      <c r="K30" s="57">
        <f t="shared" si="3"/>
        <v>0.85466666666666669</v>
      </c>
      <c r="L30" s="15">
        <v>0.05</v>
      </c>
      <c r="M30" s="15">
        <v>0.2</v>
      </c>
      <c r="N30" s="70">
        <f t="shared" si="4"/>
        <v>0.10149253731343284</v>
      </c>
      <c r="O30" s="53">
        <f t="shared" si="21"/>
        <v>61.685675563638185</v>
      </c>
      <c r="P30" s="25">
        <f t="shared" si="5"/>
        <v>4.2635506152263074E-2</v>
      </c>
      <c r="Q30" s="15">
        <f t="shared" si="6"/>
        <v>0.66666666666666674</v>
      </c>
      <c r="R30" s="15">
        <v>39.5</v>
      </c>
      <c r="S30" s="15">
        <v>0.69499999999999995</v>
      </c>
      <c r="T30" s="15">
        <f>(R30/100+S30)/2</f>
        <v>0.54499999999999993</v>
      </c>
      <c r="U30" s="15"/>
      <c r="V30" s="15">
        <v>0.51</v>
      </c>
      <c r="W30" s="25">
        <f>(V30+K30)/2</f>
        <v>0.68233333333333335</v>
      </c>
      <c r="X30" s="15">
        <f>-17/130</f>
        <v>-0.13076923076923078</v>
      </c>
      <c r="Y30" s="15">
        <f t="shared" si="26"/>
        <v>-0.13076923076923078</v>
      </c>
      <c r="Z30" s="25">
        <f t="shared" si="22"/>
        <v>2.07724549544626</v>
      </c>
      <c r="AA30" s="15">
        <v>46.4</v>
      </c>
      <c r="AB30" s="15">
        <v>77</v>
      </c>
      <c r="AC30" s="15">
        <v>16</v>
      </c>
      <c r="AD30" s="75"/>
      <c r="AE30" s="15">
        <v>3.59</v>
      </c>
      <c r="AF30" s="131">
        <f t="shared" si="7"/>
        <v>3.3674681787399158E-2</v>
      </c>
      <c r="AG30" s="70">
        <v>1</v>
      </c>
      <c r="AH30" s="70">
        <v>58</v>
      </c>
      <c r="AI30" s="57">
        <f t="shared" si="8"/>
        <v>2.9631676775822836E-2</v>
      </c>
      <c r="AJ30" s="57">
        <f t="shared" si="9"/>
        <v>1.8177863848596624E-3</v>
      </c>
      <c r="AK30" s="57">
        <f t="shared" si="10"/>
        <v>0.48302499999999993</v>
      </c>
      <c r="AL30" s="53">
        <f t="shared" si="11"/>
        <v>0.15306146708662444</v>
      </c>
      <c r="AM30" s="53">
        <f t="shared" si="12"/>
        <v>12.8881</v>
      </c>
      <c r="AN30" s="80">
        <f t="shared" si="13"/>
        <v>8.5271012304526148E-2</v>
      </c>
      <c r="AO30" s="80">
        <f t="shared" si="14"/>
        <v>4</v>
      </c>
      <c r="AP30" s="145">
        <f t="shared" si="15"/>
        <v>8.8564413100859773E-2</v>
      </c>
      <c r="AQ30" s="145">
        <f t="shared" si="16"/>
        <v>4.3149488483517784</v>
      </c>
      <c r="AR30" s="100">
        <f t="shared" si="17"/>
        <v>0.68216809843620918</v>
      </c>
      <c r="AS30" s="100">
        <f t="shared" si="18"/>
        <v>256</v>
      </c>
      <c r="AT30" s="25">
        <f t="shared" si="19"/>
        <v>4.7106549564097058E-2</v>
      </c>
      <c r="AU30" s="25">
        <f t="shared" si="20"/>
        <v>1.2207303511111112</v>
      </c>
      <c r="AV30" s="53">
        <f t="shared" si="28"/>
        <v>1.9782874854650065</v>
      </c>
      <c r="AW30" s="53">
        <f t="shared" si="29"/>
        <v>2152.96</v>
      </c>
      <c r="AX30" s="100">
        <f>P30*R30</f>
        <v>1.6841024930143915</v>
      </c>
      <c r="AY30" s="100">
        <f>R30*R30</f>
        <v>1560.25</v>
      </c>
    </row>
    <row r="31" spans="1:96" s="133" customFormat="1" ht="14">
      <c r="A31" s="16" t="s">
        <v>31</v>
      </c>
      <c r="B31" s="14">
        <v>7</v>
      </c>
      <c r="C31" s="14">
        <v>7</v>
      </c>
      <c r="D31" s="22" t="s">
        <v>4</v>
      </c>
      <c r="E31" s="15">
        <f t="shared" si="0"/>
        <v>3</v>
      </c>
      <c r="F31" s="15">
        <v>32</v>
      </c>
      <c r="G31" s="25">
        <f t="shared" si="1"/>
        <v>1.4597333333333333</v>
      </c>
      <c r="H31" s="15">
        <f t="shared" si="27"/>
        <v>1.1048666666666667</v>
      </c>
      <c r="I31" s="15">
        <v>0.75</v>
      </c>
      <c r="J31" s="25">
        <f t="shared" si="2"/>
        <v>0.81</v>
      </c>
      <c r="K31" s="57">
        <f t="shared" si="3"/>
        <v>1.08</v>
      </c>
      <c r="L31" s="15">
        <v>0.05</v>
      </c>
      <c r="M31" s="15">
        <v>0.2</v>
      </c>
      <c r="N31" s="70">
        <f t="shared" si="4"/>
        <v>0.10149253731343284</v>
      </c>
      <c r="O31" s="53">
        <f t="shared" si="21"/>
        <v>952.48809852917395</v>
      </c>
      <c r="P31" s="25">
        <f t="shared" si="5"/>
        <v>2.76118935665572E-3</v>
      </c>
      <c r="Q31" s="15">
        <f t="shared" si="6"/>
        <v>0.33333333333333337</v>
      </c>
      <c r="R31" s="15"/>
      <c r="S31" s="109">
        <v>0.9</v>
      </c>
      <c r="T31" s="70">
        <f>S31</f>
        <v>0.9</v>
      </c>
      <c r="U31" s="15"/>
      <c r="V31" s="15">
        <v>0.45</v>
      </c>
      <c r="W31" s="25">
        <f>(V31+K31)/2</f>
        <v>0.76500000000000001</v>
      </c>
      <c r="X31" s="15" t="s">
        <v>223</v>
      </c>
      <c r="Y31" s="15">
        <v>0.1</v>
      </c>
      <c r="Z31" s="25">
        <f t="shared" si="22"/>
        <v>1.80098427218694</v>
      </c>
      <c r="AA31" s="15">
        <v>32.700000000000003</v>
      </c>
      <c r="AB31" s="15">
        <v>5.5</v>
      </c>
      <c r="AC31" s="15">
        <v>60</v>
      </c>
      <c r="AD31" s="75"/>
      <c r="AE31" s="108">
        <v>1.9</v>
      </c>
      <c r="AF31" s="131">
        <f t="shared" si="7"/>
        <v>1.8908207619265883E-3</v>
      </c>
      <c r="AG31" s="57"/>
      <c r="AH31" s="57">
        <v>49</v>
      </c>
      <c r="AI31" s="57">
        <f t="shared" si="8"/>
        <v>2.4850704209901479E-3</v>
      </c>
      <c r="AJ31" s="57">
        <f t="shared" si="9"/>
        <v>7.6241666633088287E-6</v>
      </c>
      <c r="AK31" s="57">
        <f t="shared" si="10"/>
        <v>0.81</v>
      </c>
      <c r="AL31" s="53">
        <f t="shared" si="11"/>
        <v>5.2462597776458675E-3</v>
      </c>
      <c r="AM31" s="53">
        <f t="shared" si="12"/>
        <v>3.61</v>
      </c>
      <c r="AN31" s="80">
        <f t="shared" si="13"/>
        <v>8.2835680699671604E-3</v>
      </c>
      <c r="AO31" s="80">
        <f t="shared" si="14"/>
        <v>9</v>
      </c>
      <c r="AP31" s="145">
        <f t="shared" si="15"/>
        <v>4.9728586038669271E-3</v>
      </c>
      <c r="AQ31" s="145">
        <f t="shared" si="16"/>
        <v>3.243544348664722</v>
      </c>
      <c r="AR31" s="100">
        <f t="shared" si="17"/>
        <v>0.16567136139934319</v>
      </c>
      <c r="AS31" s="100">
        <f t="shared" si="18"/>
        <v>3600</v>
      </c>
      <c r="AT31" s="25">
        <f t="shared" si="19"/>
        <v>3.0507460805236832E-3</v>
      </c>
      <c r="AU31" s="25">
        <f t="shared" si="20"/>
        <v>1.2207303511111112</v>
      </c>
      <c r="AV31" s="53">
        <f t="shared" si="28"/>
        <v>9.0290891962642048E-2</v>
      </c>
      <c r="AW31" s="53">
        <f t="shared" si="29"/>
        <v>1069.2900000000002</v>
      </c>
      <c r="AX31" s="100"/>
      <c r="AY31" s="100"/>
    </row>
    <row r="32" spans="1:96" s="49" customFormat="1" ht="14">
      <c r="A32" s="16" t="s">
        <v>32</v>
      </c>
      <c r="B32" s="14">
        <v>5</v>
      </c>
      <c r="C32" s="14">
        <v>5</v>
      </c>
      <c r="D32" s="22" t="s">
        <v>3</v>
      </c>
      <c r="E32" s="15">
        <f t="shared" si="0"/>
        <v>2.333333333333333</v>
      </c>
      <c r="F32" s="15">
        <v>28</v>
      </c>
      <c r="G32" s="25">
        <f t="shared" si="1"/>
        <v>1.1522666666666668</v>
      </c>
      <c r="H32" s="15">
        <f t="shared" si="27"/>
        <v>0.95113333333333339</v>
      </c>
      <c r="I32" s="15">
        <v>0.75</v>
      </c>
      <c r="J32" s="25">
        <f t="shared" si="2"/>
        <v>0.59899999999999998</v>
      </c>
      <c r="K32" s="57">
        <f t="shared" si="3"/>
        <v>0.79866666666666664</v>
      </c>
      <c r="L32" s="15">
        <v>0.06</v>
      </c>
      <c r="M32" s="15">
        <v>0.2</v>
      </c>
      <c r="N32" s="70">
        <f t="shared" si="4"/>
        <v>0.1017910447761194</v>
      </c>
      <c r="O32" s="53">
        <f t="shared" si="21"/>
        <v>75.217138041419432</v>
      </c>
      <c r="P32" s="25">
        <f t="shared" si="5"/>
        <v>3.4965435650473053E-2</v>
      </c>
      <c r="Q32" s="15">
        <f t="shared" si="6"/>
        <v>0.55555555555555558</v>
      </c>
      <c r="R32" s="15">
        <v>42.4</v>
      </c>
      <c r="S32" s="15">
        <v>0.71799999999999997</v>
      </c>
      <c r="T32" s="15">
        <f>(R32/100+S32)/2</f>
        <v>0.57099999999999995</v>
      </c>
      <c r="U32" s="15"/>
      <c r="V32" s="15">
        <v>0.57999999999999996</v>
      </c>
      <c r="W32" s="25">
        <f>(V32+K32)/2</f>
        <v>0.68933333333333335</v>
      </c>
      <c r="X32" s="15" t="s">
        <v>225</v>
      </c>
      <c r="Y32" s="15">
        <v>0.1</v>
      </c>
      <c r="Z32" s="25">
        <f t="shared" si="22"/>
        <v>2.1291881157421337</v>
      </c>
      <c r="AA32" s="15">
        <v>68</v>
      </c>
      <c r="AB32" s="15"/>
      <c r="AC32" s="15">
        <v>8</v>
      </c>
      <c r="AD32" s="75"/>
      <c r="AE32" s="15">
        <v>4.01</v>
      </c>
      <c r="AF32" s="131">
        <f t="shared" si="7"/>
        <v>2.830722055084926E-2</v>
      </c>
      <c r="AG32" s="25">
        <v>1</v>
      </c>
      <c r="AH32" s="25">
        <v>58</v>
      </c>
      <c r="AI32" s="57">
        <f t="shared" si="8"/>
        <v>2.510518279703965E-2</v>
      </c>
      <c r="AJ32" s="57">
        <f t="shared" si="9"/>
        <v>1.2225816902273719E-3</v>
      </c>
      <c r="AK32" s="57">
        <f t="shared" si="10"/>
        <v>0.51552399999999998</v>
      </c>
      <c r="AL32" s="53">
        <f t="shared" si="11"/>
        <v>0.14021139695839693</v>
      </c>
      <c r="AM32" s="53">
        <f t="shared" si="12"/>
        <v>16.080099999999998</v>
      </c>
      <c r="AN32" s="80">
        <f t="shared" si="13"/>
        <v>8.1586016517770449E-2</v>
      </c>
      <c r="AO32" s="80">
        <f t="shared" si="14"/>
        <v>5.4444444444444429</v>
      </c>
      <c r="AP32" s="145">
        <f t="shared" si="15"/>
        <v>7.4447990048733551E-2</v>
      </c>
      <c r="AQ32" s="145">
        <f t="shared" si="16"/>
        <v>4.5334420322175379</v>
      </c>
      <c r="AR32" s="100">
        <f t="shared" si="17"/>
        <v>0.27972348520378443</v>
      </c>
      <c r="AS32" s="100">
        <f t="shared" si="18"/>
        <v>64</v>
      </c>
      <c r="AT32" s="25">
        <f t="shared" si="19"/>
        <v>3.3256791361686605E-2</v>
      </c>
      <c r="AU32" s="25">
        <f t="shared" si="20"/>
        <v>0.90465461777777789</v>
      </c>
      <c r="AV32" s="53">
        <f t="shared" si="28"/>
        <v>2.3776496242321676</v>
      </c>
      <c r="AW32" s="53">
        <f t="shared" si="29"/>
        <v>4624</v>
      </c>
      <c r="AX32" s="100">
        <f>P32*R32</f>
        <v>1.4825344715800575</v>
      </c>
      <c r="AY32" s="100">
        <f>R32*R32</f>
        <v>1797.76</v>
      </c>
    </row>
    <row r="33" spans="1:96" s="13" customFormat="1" ht="14">
      <c r="A33" s="16" t="s">
        <v>33</v>
      </c>
      <c r="B33" s="14">
        <v>6</v>
      </c>
      <c r="C33" s="14">
        <v>5</v>
      </c>
      <c r="D33" s="22" t="s">
        <v>4</v>
      </c>
      <c r="E33" s="15">
        <f t="shared" si="0"/>
        <v>2.5</v>
      </c>
      <c r="F33" s="15">
        <v>37.299999999999997</v>
      </c>
      <c r="G33" s="25">
        <f t="shared" si="1"/>
        <v>1.8671266666666662</v>
      </c>
      <c r="H33" s="15">
        <f t="shared" si="27"/>
        <v>1.3085633333333331</v>
      </c>
      <c r="I33" s="15">
        <v>0.75</v>
      </c>
      <c r="J33" s="25">
        <f t="shared" si="2"/>
        <v>0.51300000000000001</v>
      </c>
      <c r="K33" s="57">
        <f t="shared" si="3"/>
        <v>0.68400000000000005</v>
      </c>
      <c r="L33" s="15">
        <v>0.06</v>
      </c>
      <c r="M33" s="15">
        <v>0.2</v>
      </c>
      <c r="N33" s="70">
        <f t="shared" si="4"/>
        <v>0.1017910447761194</v>
      </c>
      <c r="O33" s="53">
        <f t="shared" si="21"/>
        <v>187.89549775464593</v>
      </c>
      <c r="P33" s="25">
        <f t="shared" si="5"/>
        <v>1.3997142195680792E-2</v>
      </c>
      <c r="Q33" s="15">
        <f t="shared" si="6"/>
        <v>0.5</v>
      </c>
      <c r="R33" s="15">
        <v>44.4</v>
      </c>
      <c r="S33" s="15">
        <v>0.50600000000000001</v>
      </c>
      <c r="T33" s="15">
        <f>(R33/100+S33)/2</f>
        <v>0.47499999999999998</v>
      </c>
      <c r="U33" s="15"/>
      <c r="V33" s="15">
        <v>0.33</v>
      </c>
      <c r="W33" s="25">
        <f>(V33+K33)/2</f>
        <v>0.50700000000000001</v>
      </c>
      <c r="X33" s="15">
        <f>10/136</f>
        <v>7.3529411764705885E-2</v>
      </c>
      <c r="Y33" s="15">
        <f t="shared" ref="Y33:Y41" si="30">X33</f>
        <v>7.3529411764705885E-2</v>
      </c>
      <c r="Z33" s="25">
        <f t="shared" si="22"/>
        <v>1.6951389364535361</v>
      </c>
      <c r="AA33" s="15">
        <v>31</v>
      </c>
      <c r="AB33" s="15">
        <v>3.5</v>
      </c>
      <c r="AC33" s="15">
        <v>13.395</v>
      </c>
      <c r="AD33" s="75"/>
      <c r="AE33" s="15">
        <v>4.87</v>
      </c>
      <c r="AF33" s="131">
        <f t="shared" si="7"/>
        <v>9.0217113060742388E-3</v>
      </c>
      <c r="AG33" s="99">
        <v>1</v>
      </c>
      <c r="AH33" s="99">
        <v>58</v>
      </c>
      <c r="AI33" s="57">
        <f t="shared" si="8"/>
        <v>7.0825539510144808E-3</v>
      </c>
      <c r="AJ33" s="57">
        <f t="shared" si="9"/>
        <v>1.959199896461077E-4</v>
      </c>
      <c r="AK33" s="57">
        <f t="shared" si="10"/>
        <v>0.25603599999999999</v>
      </c>
      <c r="AL33" s="53">
        <f t="shared" si="11"/>
        <v>6.8166082492965463E-2</v>
      </c>
      <c r="AM33" s="53">
        <f t="shared" si="12"/>
        <v>23.716900000000003</v>
      </c>
      <c r="AN33" s="80">
        <f t="shared" si="13"/>
        <v>3.4992855489201981E-2</v>
      </c>
      <c r="AO33" s="80">
        <f t="shared" si="14"/>
        <v>6.25</v>
      </c>
      <c r="AP33" s="145">
        <f t="shared" si="15"/>
        <v>2.3727100734975248E-2</v>
      </c>
      <c r="AQ33" s="145">
        <f t="shared" si="16"/>
        <v>2.8734960138808257</v>
      </c>
      <c r="AR33" s="100">
        <f t="shared" si="17"/>
        <v>0.1874917197111442</v>
      </c>
      <c r="AS33" s="100">
        <f t="shared" si="18"/>
        <v>179.42602499999998</v>
      </c>
      <c r="AT33" s="25">
        <f t="shared" si="19"/>
        <v>1.8316147048720706E-2</v>
      </c>
      <c r="AU33" s="25">
        <f t="shared" si="20"/>
        <v>1.7123379973444437</v>
      </c>
      <c r="AV33" s="53">
        <f t="shared" si="28"/>
        <v>0.43391140806610456</v>
      </c>
      <c r="AW33" s="53">
        <f t="shared" si="29"/>
        <v>961</v>
      </c>
      <c r="AX33" s="100">
        <f>P33*R33</f>
        <v>0.62147311348822709</v>
      </c>
      <c r="AY33" s="100">
        <f>R33*R33</f>
        <v>1971.36</v>
      </c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</row>
    <row r="34" spans="1:96" s="49" customFormat="1" ht="14">
      <c r="A34" s="16" t="s">
        <v>34</v>
      </c>
      <c r="B34" s="14">
        <v>6</v>
      </c>
      <c r="C34" s="14">
        <v>6</v>
      </c>
      <c r="D34" s="22" t="s">
        <v>4</v>
      </c>
      <c r="E34" s="15">
        <f t="shared" si="0"/>
        <v>2.666666666666667</v>
      </c>
      <c r="F34" s="15">
        <v>35.4</v>
      </c>
      <c r="G34" s="25">
        <f t="shared" si="1"/>
        <v>1.7210800000000002</v>
      </c>
      <c r="H34" s="15">
        <f t="shared" si="27"/>
        <v>1.2355400000000001</v>
      </c>
      <c r="I34" s="15">
        <v>0.75</v>
      </c>
      <c r="J34" s="25">
        <f t="shared" si="2"/>
        <v>0.65900000000000003</v>
      </c>
      <c r="K34" s="57">
        <f t="shared" si="3"/>
        <v>0.87866666666666671</v>
      </c>
      <c r="L34" s="15">
        <v>0.1</v>
      </c>
      <c r="M34" s="15">
        <v>0.2</v>
      </c>
      <c r="N34" s="70">
        <f t="shared" si="4"/>
        <v>0.10298507462686568</v>
      </c>
      <c r="O34" s="53">
        <f t="shared" si="21"/>
        <v>369.63325453676629</v>
      </c>
      <c r="P34" s="25">
        <f t="shared" si="5"/>
        <v>7.1151606835158331E-3</v>
      </c>
      <c r="Q34" s="15">
        <f t="shared" si="6"/>
        <v>0.44444444444444431</v>
      </c>
      <c r="R34" s="15">
        <v>44.6</v>
      </c>
      <c r="S34" s="15">
        <v>0.54</v>
      </c>
      <c r="T34" s="15">
        <f>(R34/100+S34)/2</f>
        <v>0.49299999999999999</v>
      </c>
      <c r="U34" s="15">
        <v>0.16200000000000001</v>
      </c>
      <c r="V34" s="15">
        <v>0.62</v>
      </c>
      <c r="W34" s="15">
        <f>(V34+U34+J34)/3</f>
        <v>0.48033333333333333</v>
      </c>
      <c r="X34" s="15">
        <f>29/115</f>
        <v>0.25217391304347825</v>
      </c>
      <c r="Y34" s="15">
        <f t="shared" si="30"/>
        <v>0.25217391304347825</v>
      </c>
      <c r="Z34" s="25">
        <f t="shared" si="22"/>
        <v>1.7240391611687005</v>
      </c>
      <c r="AA34" s="15">
        <v>48</v>
      </c>
      <c r="AB34" s="15">
        <v>30</v>
      </c>
      <c r="AC34" s="15">
        <v>19.399999999999999</v>
      </c>
      <c r="AD34" s="75"/>
      <c r="AE34" s="15">
        <v>3.41</v>
      </c>
      <c r="AF34" s="131">
        <f t="shared" si="7"/>
        <v>4.6641884625053818E-3</v>
      </c>
      <c r="AG34" s="53">
        <v>1</v>
      </c>
      <c r="AH34" s="53">
        <v>58</v>
      </c>
      <c r="AI34" s="57">
        <f t="shared" si="8"/>
        <v>3.8421867690985501E-3</v>
      </c>
      <c r="AJ34" s="57">
        <f t="shared" si="9"/>
        <v>5.0625511552249498E-5</v>
      </c>
      <c r="AK34" s="57">
        <f t="shared" si="10"/>
        <v>0.29160000000000003</v>
      </c>
      <c r="AL34" s="53">
        <f t="shared" si="11"/>
        <v>2.4262697930788991E-2</v>
      </c>
      <c r="AM34" s="53">
        <f t="shared" si="12"/>
        <v>11.628100000000002</v>
      </c>
      <c r="AN34" s="80">
        <f t="shared" si="13"/>
        <v>1.8973761822708889E-2</v>
      </c>
      <c r="AO34" s="80">
        <f t="shared" si="14"/>
        <v>7.1111111111111125</v>
      </c>
      <c r="AP34" s="145">
        <f t="shared" si="15"/>
        <v>1.2266815656389155E-2</v>
      </c>
      <c r="AQ34" s="145">
        <f t="shared" si="16"/>
        <v>2.9723110292432766</v>
      </c>
      <c r="AR34" s="100">
        <f t="shared" si="17"/>
        <v>0.13803411726020715</v>
      </c>
      <c r="AS34" s="100">
        <f t="shared" si="18"/>
        <v>376.35999999999996</v>
      </c>
      <c r="AT34" s="25">
        <f t="shared" si="19"/>
        <v>8.7910656309111521E-3</v>
      </c>
      <c r="AU34" s="25">
        <f t="shared" si="20"/>
        <v>1.5265590916000003</v>
      </c>
      <c r="AV34" s="53">
        <f t="shared" si="28"/>
        <v>0.34152771280875999</v>
      </c>
      <c r="AW34" s="53">
        <f t="shared" si="29"/>
        <v>2304</v>
      </c>
      <c r="AX34" s="100">
        <f>P34*R34</f>
        <v>0.31733616648480617</v>
      </c>
      <c r="AY34" s="100">
        <f>R34*R34</f>
        <v>1989.16</v>
      </c>
    </row>
    <row r="35" spans="1:96" s="57" customFormat="1" ht="14">
      <c r="A35" s="54" t="s">
        <v>35</v>
      </c>
      <c r="B35" s="55">
        <v>1</v>
      </c>
      <c r="C35" s="55">
        <v>1</v>
      </c>
      <c r="D35" s="56" t="s">
        <v>8</v>
      </c>
      <c r="E35" s="57">
        <f t="shared" si="0"/>
        <v>1</v>
      </c>
      <c r="F35" s="57">
        <v>24.8</v>
      </c>
      <c r="G35" s="57">
        <f t="shared" si="1"/>
        <v>0.9062933333333334</v>
      </c>
      <c r="H35" s="57">
        <f t="shared" si="27"/>
        <v>0.78648000000000007</v>
      </c>
      <c r="I35" s="57">
        <f>2/3</f>
        <v>0.66666666666666663</v>
      </c>
      <c r="J35" s="57">
        <f t="shared" si="2"/>
        <v>9.1999999999999971E-2</v>
      </c>
      <c r="K35" s="57">
        <f t="shared" si="3"/>
        <v>0.12266666666666663</v>
      </c>
      <c r="L35" s="57">
        <v>2.56</v>
      </c>
      <c r="M35" s="57">
        <v>0.4</v>
      </c>
      <c r="N35" s="70">
        <f t="shared" si="4"/>
        <v>0.27641791044776121</v>
      </c>
      <c r="O35" s="57">
        <f t="shared" si="21"/>
        <v>3.2725338977532501</v>
      </c>
      <c r="P35" s="57">
        <f t="shared" si="5"/>
        <v>0.80365859672396966</v>
      </c>
      <c r="Q35" s="57">
        <f t="shared" si="6"/>
        <v>1</v>
      </c>
      <c r="R35" s="57">
        <v>32.1</v>
      </c>
      <c r="S35" s="57">
        <f>1-0.888</f>
        <v>0.11199999999999999</v>
      </c>
      <c r="T35" s="57">
        <f>(R35/100+S35)/2</f>
        <v>0.2165</v>
      </c>
      <c r="U35" s="57">
        <v>0.83499999999999996</v>
      </c>
      <c r="V35" s="57">
        <v>0.78</v>
      </c>
      <c r="W35" s="57">
        <f>(V35+U35+J35)/3</f>
        <v>0.56899999999999995</v>
      </c>
      <c r="X35" s="57">
        <f>14/106</f>
        <v>0.13207547169811321</v>
      </c>
      <c r="Y35" s="57">
        <f t="shared" si="30"/>
        <v>0.13207547169811321</v>
      </c>
      <c r="Z35" s="57">
        <f t="shared" si="22"/>
        <v>2.5032139136392546</v>
      </c>
      <c r="AA35" s="57">
        <v>9.4</v>
      </c>
      <c r="AB35" s="57">
        <v>7.4</v>
      </c>
      <c r="AC35" s="57">
        <v>34.700000000000003</v>
      </c>
      <c r="AE35" s="57">
        <v>9.08</v>
      </c>
      <c r="AF35" s="131">
        <f t="shared" si="7"/>
        <v>0.76491611450009112</v>
      </c>
      <c r="AG35" s="39">
        <v>1</v>
      </c>
      <c r="AH35" s="39">
        <v>32</v>
      </c>
      <c r="AI35" s="57">
        <f t="shared" si="8"/>
        <v>9.0009762833084594E-2</v>
      </c>
      <c r="AJ35" s="57">
        <f t="shared" si="9"/>
        <v>0.64586714008834012</v>
      </c>
      <c r="AK35" s="57">
        <f t="shared" si="10"/>
        <v>1.2543999999999998E-2</v>
      </c>
      <c r="AL35" s="53">
        <f t="shared" si="11"/>
        <v>7.2972200582536448</v>
      </c>
      <c r="AM35" s="53">
        <f t="shared" si="12"/>
        <v>82.446399999999997</v>
      </c>
      <c r="AN35" s="80">
        <f t="shared" si="13"/>
        <v>0.80365859672396966</v>
      </c>
      <c r="AO35" s="80">
        <f t="shared" si="14"/>
        <v>1</v>
      </c>
      <c r="AP35" s="145">
        <f t="shared" si="15"/>
        <v>2.0117293811352397</v>
      </c>
      <c r="AQ35" s="145">
        <f t="shared" si="16"/>
        <v>6.2660798974371534</v>
      </c>
      <c r="AR35" s="100">
        <f t="shared" si="17"/>
        <v>27.88695330632175</v>
      </c>
      <c r="AS35" s="100">
        <f t="shared" si="18"/>
        <v>1204.0900000000001</v>
      </c>
      <c r="AT35" s="25">
        <f t="shared" si="19"/>
        <v>0.63206141315146769</v>
      </c>
      <c r="AU35" s="25">
        <f t="shared" si="20"/>
        <v>0.61855079040000016</v>
      </c>
      <c r="AV35" s="53">
        <f t="shared" si="28"/>
        <v>7.5543908092053149</v>
      </c>
      <c r="AW35" s="53">
        <f t="shared" si="29"/>
        <v>88.360000000000014</v>
      </c>
      <c r="AX35" s="100">
        <f>P35*R35</f>
        <v>25.797440954839427</v>
      </c>
      <c r="AY35" s="100">
        <f>R35*R35</f>
        <v>1030.4100000000001</v>
      </c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</row>
    <row r="36" spans="1:96" s="57" customFormat="1" ht="14">
      <c r="A36" s="16" t="s">
        <v>36</v>
      </c>
      <c r="B36" s="14">
        <v>1</v>
      </c>
      <c r="C36" s="14">
        <v>1</v>
      </c>
      <c r="D36" s="22" t="s">
        <v>8</v>
      </c>
      <c r="E36" s="15">
        <f t="shared" ref="E36:E67" si="31">1+(-2+B36+C36)/6</f>
        <v>1</v>
      </c>
      <c r="F36" s="15">
        <v>40.6</v>
      </c>
      <c r="G36" s="25">
        <f t="shared" si="1"/>
        <v>2.120786666666667</v>
      </c>
      <c r="H36" s="15">
        <f t="shared" si="27"/>
        <v>1.4353933333333335</v>
      </c>
      <c r="I36" s="15">
        <v>0.75</v>
      </c>
      <c r="J36" s="25">
        <f t="shared" ref="J36:J67" si="32">1-AE36/10</f>
        <v>0.20599999999999996</v>
      </c>
      <c r="K36" s="57">
        <f t="shared" ref="K36:K67" si="33">4*J36/3</f>
        <v>0.27466666666666661</v>
      </c>
      <c r="L36" s="15">
        <v>0.03</v>
      </c>
      <c r="M36" s="15">
        <v>0.2</v>
      </c>
      <c r="N36" s="70">
        <f t="shared" ref="N36:N67" si="34">(L36/16.75+M36)/2</f>
        <v>0.10089552238805971</v>
      </c>
      <c r="O36" s="53">
        <f t="shared" si="21"/>
        <v>6.1162888919314815</v>
      </c>
      <c r="P36" s="25">
        <f t="shared" ref="P36:P67" si="35">2.63/O36</f>
        <v>0.42999930946189563</v>
      </c>
      <c r="Q36" s="15">
        <f t="shared" ref="Q36:Q67" si="36">1-(E36-1)/3</f>
        <v>1</v>
      </c>
      <c r="R36" s="15"/>
      <c r="S36" s="15">
        <v>0.46300000000000002</v>
      </c>
      <c r="T36" s="70">
        <f>S36</f>
        <v>0.46300000000000002</v>
      </c>
      <c r="U36" s="15"/>
      <c r="V36" s="15">
        <v>0.44</v>
      </c>
      <c r="W36" s="25">
        <f>(V36+K36)/2</f>
        <v>0.35733333333333328</v>
      </c>
      <c r="X36" s="15">
        <f>-10/123</f>
        <v>-8.1300813008130079E-2</v>
      </c>
      <c r="Y36" s="15">
        <f t="shared" si="30"/>
        <v>-8.1300813008130079E-2</v>
      </c>
      <c r="Z36" s="25">
        <f t="shared" si="22"/>
        <v>2.0939087200836983</v>
      </c>
      <c r="AA36" s="15">
        <v>30</v>
      </c>
      <c r="AB36" s="15">
        <v>21</v>
      </c>
      <c r="AC36" s="15">
        <v>0.49199999999999999</v>
      </c>
      <c r="AD36" s="75"/>
      <c r="AE36" s="15">
        <v>7.94</v>
      </c>
      <c r="AF36" s="131">
        <f t="shared" ref="AF36:AF67" si="37">Z36/O36</f>
        <v>0.3423495451377308</v>
      </c>
      <c r="AG36" s="70">
        <v>1</v>
      </c>
      <c r="AH36" s="70">
        <v>58</v>
      </c>
      <c r="AI36" s="57">
        <f t="shared" ref="AI36:AI67" si="38">P36*S36</f>
        <v>0.19908968028085769</v>
      </c>
      <c r="AJ36" s="57">
        <f t="shared" ref="AJ36:AJ67" si="39">P36*P36</f>
        <v>0.18489940613770708</v>
      </c>
      <c r="AK36" s="57">
        <f t="shared" ref="AK36:AK67" si="40">S36*S36</f>
        <v>0.21436900000000003</v>
      </c>
      <c r="AL36" s="53">
        <f t="shared" ref="AL36:AL67" si="41">AE36*P36</f>
        <v>3.4141945171274513</v>
      </c>
      <c r="AM36" s="53">
        <f t="shared" ref="AM36:AM67" si="42">AE36^2</f>
        <v>63.043600000000005</v>
      </c>
      <c r="AN36" s="80">
        <f t="shared" ref="AN36:AN67" si="43">P36*E36</f>
        <v>0.42999930946189563</v>
      </c>
      <c r="AO36" s="80">
        <f t="shared" ref="AO36:AO67" si="44">E36^2</f>
        <v>1</v>
      </c>
      <c r="AP36" s="145">
        <f t="shared" ref="AP36:AP67" si="45">Z36*P36</f>
        <v>0.90037930371223196</v>
      </c>
      <c r="AQ36" s="145">
        <f t="shared" ref="AQ36:AQ67" si="46">Z36*Z36</f>
        <v>4.3844537280425513</v>
      </c>
      <c r="AR36" s="100">
        <f t="shared" ref="AR36:AR67" si="47">AC36*P36</f>
        <v>0.21155966025525264</v>
      </c>
      <c r="AS36" s="100">
        <f t="shared" ref="AS36:AS67" si="48">AC36^2</f>
        <v>0.242064</v>
      </c>
      <c r="AT36" s="25">
        <f t="shared" ref="AT36:AT67" si="49">H36*P36</f>
        <v>0.61721814213954196</v>
      </c>
      <c r="AU36" s="25">
        <f t="shared" ref="AU36:AU67" si="50">H36^2</f>
        <v>2.0603540213777785</v>
      </c>
      <c r="AV36" s="53">
        <f t="shared" si="28"/>
        <v>12.899979283856869</v>
      </c>
      <c r="AW36" s="53">
        <f t="shared" si="29"/>
        <v>900</v>
      </c>
      <c r="AX36" s="100"/>
      <c r="AY36" s="100"/>
    </row>
    <row r="37" spans="1:96" s="39" customFormat="1" ht="14">
      <c r="A37" s="16" t="s">
        <v>37</v>
      </c>
      <c r="B37" s="14">
        <v>5</v>
      </c>
      <c r="C37" s="14">
        <v>5</v>
      </c>
      <c r="D37" s="22" t="s">
        <v>3</v>
      </c>
      <c r="E37" s="15">
        <f t="shared" si="31"/>
        <v>2.333333333333333</v>
      </c>
      <c r="F37" s="15">
        <v>33</v>
      </c>
      <c r="G37" s="25">
        <f t="shared" si="1"/>
        <v>1.5366</v>
      </c>
      <c r="H37" s="15">
        <f t="shared" si="27"/>
        <v>1.1433</v>
      </c>
      <c r="I37" s="15">
        <v>0.75</v>
      </c>
      <c r="J37" s="25">
        <f t="shared" si="32"/>
        <v>0.81800000000000006</v>
      </c>
      <c r="K37" s="57">
        <f t="shared" si="33"/>
        <v>1.0906666666666667</v>
      </c>
      <c r="L37" s="15">
        <v>0.05</v>
      </c>
      <c r="M37" s="15">
        <v>0.2</v>
      </c>
      <c r="N37" s="70">
        <f t="shared" si="34"/>
        <v>0.10149253731343284</v>
      </c>
      <c r="O37" s="53">
        <f t="shared" ref="O37:O68" si="51">EXP(E37*(H37+K37+N37))</f>
        <v>232.61967162825798</v>
      </c>
      <c r="P37" s="25">
        <f t="shared" si="35"/>
        <v>1.130600856578853E-2</v>
      </c>
      <c r="Q37" s="15">
        <f t="shared" si="36"/>
        <v>0.55555555555555558</v>
      </c>
      <c r="R37" s="15">
        <v>61.3</v>
      </c>
      <c r="S37" s="15">
        <v>0.68500000000000005</v>
      </c>
      <c r="T37" s="15">
        <f>(R37/100+S37)/2</f>
        <v>0.64900000000000002</v>
      </c>
      <c r="U37" s="15"/>
      <c r="V37" s="15">
        <v>0.59</v>
      </c>
      <c r="W37" s="25">
        <f>(V37+K37)/2</f>
        <v>0.84033333333333338</v>
      </c>
      <c r="X37" s="15">
        <f>-12/115</f>
        <v>-0.10434782608695652</v>
      </c>
      <c r="Y37" s="15">
        <f t="shared" si="30"/>
        <v>-0.10434782608695652</v>
      </c>
      <c r="Z37" s="25">
        <f t="shared" ref="Z37:Z68" si="52">EXP(Q37*(Y37+W37+T37))</f>
        <v>2.1585493371852125</v>
      </c>
      <c r="AA37" s="15" t="s">
        <v>223</v>
      </c>
      <c r="AB37" s="15">
        <v>8</v>
      </c>
      <c r="AC37" s="30">
        <v>4.4870000000000001</v>
      </c>
      <c r="AD37" s="75"/>
      <c r="AE37" s="15">
        <v>1.82</v>
      </c>
      <c r="AF37" s="131">
        <f t="shared" si="37"/>
        <v>9.2793069566133712E-3</v>
      </c>
      <c r="AG37" s="15">
        <v>1</v>
      </c>
      <c r="AH37" s="15">
        <v>58</v>
      </c>
      <c r="AI37" s="57">
        <f t="shared" si="38"/>
        <v>7.7446158675651437E-3</v>
      </c>
      <c r="AJ37" s="57">
        <f t="shared" si="39"/>
        <v>1.2782582968968361E-4</v>
      </c>
      <c r="AK37" s="57">
        <f t="shared" si="40"/>
        <v>0.46922500000000006</v>
      </c>
      <c r="AL37" s="53">
        <f t="shared" si="41"/>
        <v>2.0576935589735126E-2</v>
      </c>
      <c r="AM37" s="53">
        <f t="shared" si="42"/>
        <v>3.3124000000000002</v>
      </c>
      <c r="AN37" s="80">
        <f t="shared" si="43"/>
        <v>2.6380686653506565E-2</v>
      </c>
      <c r="AO37" s="80">
        <f t="shared" si="44"/>
        <v>5.4444444444444429</v>
      </c>
      <c r="AP37" s="145">
        <f t="shared" si="45"/>
        <v>2.4404577295893164E-2</v>
      </c>
      <c r="AQ37" s="145">
        <f t="shared" si="46"/>
        <v>4.6593352410627205</v>
      </c>
      <c r="AR37" s="100">
        <f t="shared" si="47"/>
        <v>5.0730060434693136E-2</v>
      </c>
      <c r="AS37" s="100">
        <f t="shared" si="48"/>
        <v>20.133169000000002</v>
      </c>
      <c r="AT37" s="25">
        <f t="shared" si="49"/>
        <v>1.2926159593266026E-2</v>
      </c>
      <c r="AU37" s="25">
        <f t="shared" si="50"/>
        <v>1.3071348899999999</v>
      </c>
      <c r="AV37" s="53"/>
      <c r="AW37" s="53"/>
      <c r="AX37" s="100">
        <f>P37*R37</f>
        <v>0.69305832508283682</v>
      </c>
      <c r="AY37" s="100">
        <f>R37*R37</f>
        <v>3757.6899999999996</v>
      </c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</row>
    <row r="38" spans="1:96" s="39" customFormat="1" ht="14">
      <c r="A38" s="116" t="s">
        <v>38</v>
      </c>
      <c r="B38" s="117">
        <v>7</v>
      </c>
      <c r="C38" s="117">
        <v>6</v>
      </c>
      <c r="D38" s="118" t="s">
        <v>4</v>
      </c>
      <c r="E38" s="107">
        <f t="shared" si="31"/>
        <v>2.833333333333333</v>
      </c>
      <c r="F38" s="107">
        <v>30.8</v>
      </c>
      <c r="G38" s="107">
        <f t="shared" si="1"/>
        <v>1.3674933333333334</v>
      </c>
      <c r="H38" s="107">
        <f t="shared" si="27"/>
        <v>1.0587466666666667</v>
      </c>
      <c r="I38" s="107">
        <v>0.75</v>
      </c>
      <c r="J38" s="107">
        <f t="shared" si="32"/>
        <v>0.84799999999999998</v>
      </c>
      <c r="K38" s="107">
        <f t="shared" si="33"/>
        <v>1.1306666666666667</v>
      </c>
      <c r="L38" s="107">
        <v>0.06</v>
      </c>
      <c r="M38" s="107">
        <v>0.2</v>
      </c>
      <c r="N38" s="107">
        <f t="shared" si="34"/>
        <v>0.1017910447761194</v>
      </c>
      <c r="O38" s="107">
        <f t="shared" si="51"/>
        <v>659.67397650142107</v>
      </c>
      <c r="P38" s="107">
        <f t="shared" si="35"/>
        <v>3.9868178731988137E-3</v>
      </c>
      <c r="Q38" s="107">
        <f t="shared" si="36"/>
        <v>0.38888888888888895</v>
      </c>
      <c r="R38" s="107"/>
      <c r="S38" s="107">
        <v>0.70499999999999996</v>
      </c>
      <c r="T38" s="70">
        <f>S38</f>
        <v>0.70499999999999996</v>
      </c>
      <c r="U38" s="107"/>
      <c r="V38" s="107">
        <v>0.75</v>
      </c>
      <c r="W38" s="25">
        <f>(V38+K38)/2</f>
        <v>0.94033333333333335</v>
      </c>
      <c r="X38" s="107">
        <f>-10/103</f>
        <v>-9.7087378640776698E-2</v>
      </c>
      <c r="Y38" s="107">
        <f t="shared" si="30"/>
        <v>-9.7087378640776698E-2</v>
      </c>
      <c r="Z38" s="107">
        <f t="shared" si="52"/>
        <v>1.8259413258552211</v>
      </c>
      <c r="AA38" s="107">
        <v>80</v>
      </c>
      <c r="AB38" s="107"/>
      <c r="AC38" s="107">
        <v>11.427</v>
      </c>
      <c r="AD38" s="107"/>
      <c r="AE38" s="107">
        <v>1.52</v>
      </c>
      <c r="AF38" s="131">
        <f t="shared" si="37"/>
        <v>2.7679450621033975E-3</v>
      </c>
      <c r="AG38" s="107">
        <v>1</v>
      </c>
      <c r="AH38" s="107">
        <v>58</v>
      </c>
      <c r="AI38" s="57">
        <f t="shared" si="38"/>
        <v>2.8107066006051633E-3</v>
      </c>
      <c r="AJ38" s="57">
        <f t="shared" si="39"/>
        <v>1.5894716754057511E-5</v>
      </c>
      <c r="AK38" s="57">
        <f t="shared" si="40"/>
        <v>0.49702499999999994</v>
      </c>
      <c r="AL38" s="53">
        <f t="shared" si="41"/>
        <v>6.059963167262197E-3</v>
      </c>
      <c r="AM38" s="53">
        <f t="shared" si="42"/>
        <v>2.3104</v>
      </c>
      <c r="AN38" s="80">
        <f t="shared" si="43"/>
        <v>1.1295983974063305E-2</v>
      </c>
      <c r="AO38" s="80">
        <f t="shared" si="44"/>
        <v>8.0277777777777768</v>
      </c>
      <c r="AP38" s="145">
        <f t="shared" si="45"/>
        <v>7.2796955133319343E-3</v>
      </c>
      <c r="AQ38" s="145">
        <f t="shared" si="46"/>
        <v>3.3340617254659226</v>
      </c>
      <c r="AR38" s="100">
        <f t="shared" si="47"/>
        <v>4.5557367837042846E-2</v>
      </c>
      <c r="AS38" s="100">
        <f t="shared" si="48"/>
        <v>130.57632899999999</v>
      </c>
      <c r="AT38" s="25">
        <f t="shared" si="49"/>
        <v>4.2210301338563338E-3</v>
      </c>
      <c r="AU38" s="25">
        <f t="shared" si="50"/>
        <v>1.1209445041777779</v>
      </c>
      <c r="AV38" s="53">
        <f>AA38*P38</f>
        <v>0.31894542985590513</v>
      </c>
      <c r="AW38" s="53">
        <f>AA38^2</f>
        <v>6400</v>
      </c>
      <c r="AX38" s="100"/>
      <c r="AY38" s="100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</row>
    <row r="39" spans="1:96" s="49" customFormat="1" ht="14">
      <c r="A39" s="116" t="s">
        <v>39</v>
      </c>
      <c r="B39" s="117">
        <v>1</v>
      </c>
      <c r="C39" s="117">
        <v>1</v>
      </c>
      <c r="D39" s="118" t="s">
        <v>8</v>
      </c>
      <c r="E39" s="107">
        <f t="shared" si="31"/>
        <v>1</v>
      </c>
      <c r="F39" s="107">
        <v>42.5</v>
      </c>
      <c r="G39" s="107">
        <f t="shared" si="1"/>
        <v>2.266833333333333</v>
      </c>
      <c r="H39" s="107">
        <f t="shared" si="27"/>
        <v>1.5084166666666665</v>
      </c>
      <c r="I39" s="107">
        <v>0.75</v>
      </c>
      <c r="J39" s="107">
        <f t="shared" si="32"/>
        <v>0.23299999999999998</v>
      </c>
      <c r="K39" s="107">
        <f t="shared" si="33"/>
        <v>0.31066666666666665</v>
      </c>
      <c r="L39" s="107">
        <v>0.37</v>
      </c>
      <c r="M39" s="107">
        <v>0.4</v>
      </c>
      <c r="N39" s="107">
        <f t="shared" si="34"/>
        <v>0.211044776119403</v>
      </c>
      <c r="O39" s="107">
        <f t="shared" si="51"/>
        <v>7.6150618577004661</v>
      </c>
      <c r="P39" s="107">
        <f t="shared" si="35"/>
        <v>0.34536817285870158</v>
      </c>
      <c r="Q39" s="107">
        <f t="shared" si="36"/>
        <v>1</v>
      </c>
      <c r="R39" s="107">
        <v>52.1</v>
      </c>
      <c r="S39" s="107">
        <f>1-0.783</f>
        <v>0.21699999999999997</v>
      </c>
      <c r="T39" s="107">
        <f>(R39/100+S39)/2</f>
        <v>0.36899999999999999</v>
      </c>
      <c r="U39" s="107">
        <v>9.4E-2</v>
      </c>
      <c r="V39" s="107">
        <v>0.35</v>
      </c>
      <c r="W39" s="107">
        <f>(V39+U39+J39)/3</f>
        <v>0.22566666666666665</v>
      </c>
      <c r="X39" s="107">
        <f>44/117</f>
        <v>0.37606837606837606</v>
      </c>
      <c r="Y39" s="107">
        <f t="shared" si="30"/>
        <v>0.37606837606837606</v>
      </c>
      <c r="Z39" s="107">
        <f t="shared" si="52"/>
        <v>2.6398841740637162</v>
      </c>
      <c r="AA39" s="107">
        <v>11.5</v>
      </c>
      <c r="AB39" s="107">
        <v>6.9</v>
      </c>
      <c r="AC39" s="107">
        <v>17.2</v>
      </c>
      <c r="AD39" s="107"/>
      <c r="AE39" s="107">
        <v>7.67</v>
      </c>
      <c r="AF39" s="131">
        <f t="shared" si="37"/>
        <v>0.3466661497167256</v>
      </c>
      <c r="AG39" s="107">
        <v>1</v>
      </c>
      <c r="AH39" s="53">
        <v>39</v>
      </c>
      <c r="AI39" s="57">
        <f t="shared" si="38"/>
        <v>7.4944893510338229E-2</v>
      </c>
      <c r="AJ39" s="57">
        <f t="shared" si="39"/>
        <v>0.11927917482375798</v>
      </c>
      <c r="AK39" s="57">
        <f t="shared" si="40"/>
        <v>4.7088999999999985E-2</v>
      </c>
      <c r="AL39" s="53">
        <f t="shared" si="41"/>
        <v>2.648973885826241</v>
      </c>
      <c r="AM39" s="53">
        <f t="shared" si="42"/>
        <v>58.828899999999997</v>
      </c>
      <c r="AN39" s="80">
        <f t="shared" si="43"/>
        <v>0.34536817285870158</v>
      </c>
      <c r="AO39" s="80">
        <f t="shared" si="44"/>
        <v>1</v>
      </c>
      <c r="AP39" s="145">
        <f t="shared" si="45"/>
        <v>0.91173197375498816</v>
      </c>
      <c r="AQ39" s="145">
        <f t="shared" si="46"/>
        <v>6.9689884524720691</v>
      </c>
      <c r="AR39" s="100">
        <f t="shared" si="47"/>
        <v>5.940332573169667</v>
      </c>
      <c r="AS39" s="100">
        <f t="shared" si="48"/>
        <v>295.83999999999997</v>
      </c>
      <c r="AT39" s="25">
        <f t="shared" si="49"/>
        <v>0.52095910807627976</v>
      </c>
      <c r="AU39" s="25">
        <f t="shared" si="50"/>
        <v>2.2753208402777774</v>
      </c>
      <c r="AV39" s="53">
        <f>AA39*P39</f>
        <v>3.9717339878750684</v>
      </c>
      <c r="AW39" s="53">
        <f>AA39^2</f>
        <v>132.25</v>
      </c>
      <c r="AX39" s="100">
        <f>P39*R39</f>
        <v>17.993681805938351</v>
      </c>
      <c r="AY39" s="100">
        <f>R39*R39</f>
        <v>2714.4100000000003</v>
      </c>
    </row>
    <row r="40" spans="1:96" s="133" customFormat="1" ht="14">
      <c r="A40" s="102" t="s">
        <v>40</v>
      </c>
      <c r="B40" s="103">
        <v>7</v>
      </c>
      <c r="C40" s="103">
        <v>6</v>
      </c>
      <c r="D40" s="104" t="s">
        <v>4</v>
      </c>
      <c r="E40" s="105">
        <f t="shared" si="31"/>
        <v>2.833333333333333</v>
      </c>
      <c r="F40" s="105">
        <v>15</v>
      </c>
      <c r="G40" s="105">
        <f>38/15-1</f>
        <v>1.5333333333333332</v>
      </c>
      <c r="H40" s="105">
        <f t="shared" si="27"/>
        <v>1.2666666666666666</v>
      </c>
      <c r="I40" s="105">
        <v>1</v>
      </c>
      <c r="J40" s="105">
        <f t="shared" si="32"/>
        <v>0.68599999999999994</v>
      </c>
      <c r="K40" s="105">
        <f t="shared" si="33"/>
        <v>0.91466666666666663</v>
      </c>
      <c r="L40" s="105">
        <v>3.81</v>
      </c>
      <c r="M40" s="105">
        <v>0.8</v>
      </c>
      <c r="N40" s="105">
        <f t="shared" si="34"/>
        <v>0.51373134328358216</v>
      </c>
      <c r="O40" s="105">
        <f t="shared" si="51"/>
        <v>2071.4758096416645</v>
      </c>
      <c r="P40" s="105">
        <f t="shared" si="35"/>
        <v>1.2696262190264012E-3</v>
      </c>
      <c r="Q40" s="105">
        <f t="shared" si="36"/>
        <v>0.38888888888888895</v>
      </c>
      <c r="R40" s="105">
        <v>48</v>
      </c>
      <c r="S40" s="105">
        <v>0.33700000000000002</v>
      </c>
      <c r="T40" s="105">
        <f>(R40/100+S40)/2</f>
        <v>0.40849999999999997</v>
      </c>
      <c r="U40" s="105">
        <v>0.435</v>
      </c>
      <c r="V40" s="105">
        <v>0.08</v>
      </c>
      <c r="W40" s="105">
        <f>(V40+U40+J40)/3</f>
        <v>0.40033333333333337</v>
      </c>
      <c r="X40" s="105">
        <f>-12/170</f>
        <v>-7.0588235294117646E-2</v>
      </c>
      <c r="Y40" s="105">
        <f t="shared" si="30"/>
        <v>-7.0588235294117646E-2</v>
      </c>
      <c r="Z40" s="105">
        <f t="shared" si="52"/>
        <v>1.3325512207470909</v>
      </c>
      <c r="AA40" s="105">
        <v>13.4</v>
      </c>
      <c r="AB40" s="105">
        <v>6.5</v>
      </c>
      <c r="AC40" s="105">
        <v>1342</v>
      </c>
      <c r="AD40" s="105"/>
      <c r="AE40" s="105">
        <v>3.14</v>
      </c>
      <c r="AF40" s="131">
        <f t="shared" si="37"/>
        <v>6.4328591941298266E-4</v>
      </c>
      <c r="AG40" s="105">
        <v>1</v>
      </c>
      <c r="AH40" s="105">
        <v>15</v>
      </c>
      <c r="AI40" s="135">
        <f t="shared" si="38"/>
        <v>4.2786403581189725E-4</v>
      </c>
      <c r="AJ40" s="57">
        <f t="shared" si="39"/>
        <v>1.6119507360392754E-6</v>
      </c>
      <c r="AK40" s="57">
        <f t="shared" si="40"/>
        <v>0.11356900000000002</v>
      </c>
      <c r="AL40" s="53">
        <f t="shared" si="41"/>
        <v>3.9866263277428997E-3</v>
      </c>
      <c r="AM40" s="53">
        <f t="shared" si="42"/>
        <v>9.8596000000000004</v>
      </c>
      <c r="AN40" s="80">
        <f t="shared" si="43"/>
        <v>3.5972742872414699E-3</v>
      </c>
      <c r="AO40" s="80">
        <f t="shared" si="44"/>
        <v>8.0277777777777768</v>
      </c>
      <c r="AP40" s="145">
        <f t="shared" si="45"/>
        <v>1.6918419680561443E-3</v>
      </c>
      <c r="AQ40" s="145">
        <f t="shared" si="46"/>
        <v>1.7756927559145621</v>
      </c>
      <c r="AR40" s="100">
        <f t="shared" si="47"/>
        <v>1.7038383859334305</v>
      </c>
      <c r="AS40" s="100">
        <f t="shared" si="48"/>
        <v>1800964</v>
      </c>
      <c r="AT40" s="25">
        <f t="shared" si="49"/>
        <v>1.6081932107667749E-3</v>
      </c>
      <c r="AU40" s="25">
        <f t="shared" si="50"/>
        <v>1.6044444444444443</v>
      </c>
      <c r="AV40" s="53">
        <f>AA40*P40</f>
        <v>1.7012991334953778E-2</v>
      </c>
      <c r="AW40" s="53">
        <f>AA40^2</f>
        <v>179.56</v>
      </c>
      <c r="AX40" s="100">
        <f>P40*R40</f>
        <v>6.0942058513267255E-2</v>
      </c>
      <c r="AY40" s="100">
        <f>R40*R40</f>
        <v>2304</v>
      </c>
    </row>
    <row r="41" spans="1:96" s="49" customFormat="1" ht="14">
      <c r="A41" s="63" t="s">
        <v>41</v>
      </c>
      <c r="B41" s="64">
        <v>3</v>
      </c>
      <c r="C41" s="64">
        <v>4</v>
      </c>
      <c r="D41" s="65" t="s">
        <v>3</v>
      </c>
      <c r="E41" s="66">
        <f t="shared" si="31"/>
        <v>1.8333333333333335</v>
      </c>
      <c r="F41" s="66">
        <v>45</v>
      </c>
      <c r="G41" s="25">
        <f t="shared" ref="G41:G80" si="53">1.153*F41/15-1</f>
        <v>2.4590000000000001</v>
      </c>
      <c r="H41" s="66">
        <f t="shared" si="27"/>
        <v>1.6045</v>
      </c>
      <c r="I41" s="66">
        <v>0.75</v>
      </c>
      <c r="J41" s="25">
        <f t="shared" si="32"/>
        <v>0.34499999999999997</v>
      </c>
      <c r="K41" s="57">
        <f t="shared" si="33"/>
        <v>0.45999999999999996</v>
      </c>
      <c r="L41" s="66">
        <v>0.34</v>
      </c>
      <c r="M41" s="66">
        <v>0.4</v>
      </c>
      <c r="N41" s="70">
        <f t="shared" si="34"/>
        <v>0.2101492537313433</v>
      </c>
      <c r="O41" s="53">
        <f t="shared" si="51"/>
        <v>64.727768533210437</v>
      </c>
      <c r="P41" s="25">
        <f t="shared" si="35"/>
        <v>4.0631711236122761E-2</v>
      </c>
      <c r="Q41" s="66">
        <f t="shared" si="36"/>
        <v>0.7222222222222221</v>
      </c>
      <c r="R41" s="66">
        <v>56</v>
      </c>
      <c r="S41" s="66">
        <v>0.311</v>
      </c>
      <c r="T41" s="66">
        <f>(R41/100+S41)/2</f>
        <v>0.4355</v>
      </c>
      <c r="U41" s="66">
        <v>0.45600000000000002</v>
      </c>
      <c r="V41" s="66">
        <v>0.43</v>
      </c>
      <c r="W41" s="66">
        <f>(V41+U41+J41)/3</f>
        <v>0.41033333333333327</v>
      </c>
      <c r="X41" s="66">
        <f>18/125</f>
        <v>0.14399999999999999</v>
      </c>
      <c r="Y41" s="66">
        <f t="shared" si="30"/>
        <v>0.14399999999999999</v>
      </c>
      <c r="Z41" s="25">
        <f t="shared" si="52"/>
        <v>2.0439406375590496</v>
      </c>
      <c r="AA41" s="66">
        <v>37.200000000000003</v>
      </c>
      <c r="AB41" s="66">
        <v>10.8</v>
      </c>
      <c r="AC41" s="66">
        <v>46</v>
      </c>
      <c r="AD41" s="75"/>
      <c r="AE41" s="66">
        <v>6.55</v>
      </c>
      <c r="AF41" s="131">
        <f t="shared" si="37"/>
        <v>3.1577492687861586E-2</v>
      </c>
      <c r="AG41" s="15">
        <v>1</v>
      </c>
      <c r="AH41" s="15">
        <v>39</v>
      </c>
      <c r="AI41" s="57">
        <f t="shared" si="38"/>
        <v>1.2636462194434178E-2</v>
      </c>
      <c r="AJ41" s="57">
        <f t="shared" si="39"/>
        <v>1.6509359579756646E-3</v>
      </c>
      <c r="AK41" s="57">
        <f t="shared" si="40"/>
        <v>9.6721000000000001E-2</v>
      </c>
      <c r="AL41" s="53">
        <f t="shared" si="41"/>
        <v>0.26613770859660407</v>
      </c>
      <c r="AM41" s="53">
        <f t="shared" si="42"/>
        <v>42.902499999999996</v>
      </c>
      <c r="AN41" s="80">
        <f t="shared" si="43"/>
        <v>7.4491470599558407E-2</v>
      </c>
      <c r="AO41" s="80">
        <f t="shared" si="44"/>
        <v>3.3611111111111116</v>
      </c>
      <c r="AP41" s="145">
        <f t="shared" si="45"/>
        <v>8.3048805769075959E-2</v>
      </c>
      <c r="AQ41" s="145">
        <f t="shared" si="46"/>
        <v>4.1776933298652947</v>
      </c>
      <c r="AR41" s="100">
        <f t="shared" si="47"/>
        <v>1.869058716861647</v>
      </c>
      <c r="AS41" s="100">
        <f t="shared" si="48"/>
        <v>2116</v>
      </c>
      <c r="AT41" s="25">
        <f t="shared" si="49"/>
        <v>6.5193580678358967E-2</v>
      </c>
      <c r="AU41" s="25">
        <f t="shared" si="50"/>
        <v>2.5744202500000002</v>
      </c>
      <c r="AV41" s="53">
        <f>AA41*P41</f>
        <v>1.5114996579837667</v>
      </c>
      <c r="AW41" s="53">
        <f>AA41^2</f>
        <v>1383.8400000000001</v>
      </c>
      <c r="AX41" s="100">
        <f>P41*R41</f>
        <v>2.2753758292228747</v>
      </c>
      <c r="AY41" s="100">
        <f>R41*R41</f>
        <v>3136</v>
      </c>
    </row>
    <row r="42" spans="1:96" s="49" customFormat="1" ht="14">
      <c r="A42" s="16" t="s">
        <v>42</v>
      </c>
      <c r="B42" s="14">
        <v>3</v>
      </c>
      <c r="C42" s="14">
        <v>4</v>
      </c>
      <c r="D42" s="22" t="s">
        <v>3</v>
      </c>
      <c r="E42" s="15">
        <f t="shared" si="31"/>
        <v>1.8333333333333335</v>
      </c>
      <c r="F42" s="15">
        <v>55.2</v>
      </c>
      <c r="G42" s="25">
        <f t="shared" si="53"/>
        <v>3.2430399999999997</v>
      </c>
      <c r="H42" s="15">
        <f t="shared" si="27"/>
        <v>1.9565199999999998</v>
      </c>
      <c r="I42" s="15">
        <v>0.67</v>
      </c>
      <c r="J42" s="25">
        <f t="shared" si="32"/>
        <v>0.65900000000000003</v>
      </c>
      <c r="K42" s="57">
        <f t="shared" si="33"/>
        <v>0.87866666666666671</v>
      </c>
      <c r="L42" s="15">
        <v>0.03</v>
      </c>
      <c r="M42" s="15">
        <v>0.2</v>
      </c>
      <c r="N42" s="70">
        <f t="shared" si="34"/>
        <v>0.10089552238805971</v>
      </c>
      <c r="O42" s="53">
        <f t="shared" si="51"/>
        <v>217.63456450509068</v>
      </c>
      <c r="P42" s="25">
        <f t="shared" si="35"/>
        <v>1.2084477509262927E-2</v>
      </c>
      <c r="Q42" s="15">
        <f t="shared" si="36"/>
        <v>0.7222222222222221</v>
      </c>
      <c r="R42" s="15"/>
      <c r="S42" s="15">
        <v>0.57199999999999995</v>
      </c>
      <c r="T42" s="70">
        <f>S42</f>
        <v>0.57199999999999995</v>
      </c>
      <c r="U42" s="15"/>
      <c r="V42" s="15">
        <v>0.78</v>
      </c>
      <c r="W42" s="25">
        <f>(V42+K42)/2</f>
        <v>0.82933333333333337</v>
      </c>
      <c r="X42" s="15" t="s">
        <v>225</v>
      </c>
      <c r="Y42" s="15">
        <v>0.1</v>
      </c>
      <c r="Z42" s="25">
        <f t="shared" si="52"/>
        <v>2.9573579825619802</v>
      </c>
      <c r="AA42" s="15">
        <v>60</v>
      </c>
      <c r="AB42" s="15">
        <v>20</v>
      </c>
      <c r="AC42" s="15">
        <v>0.66900000000000004</v>
      </c>
      <c r="AD42" s="75"/>
      <c r="AE42" s="15">
        <v>3.41</v>
      </c>
      <c r="AF42" s="131">
        <f t="shared" si="37"/>
        <v>1.3588641074946553E-2</v>
      </c>
      <c r="AG42" s="15">
        <v>1</v>
      </c>
      <c r="AH42" s="15">
        <v>54</v>
      </c>
      <c r="AI42" s="57">
        <f t="shared" si="38"/>
        <v>6.9123211352983931E-3</v>
      </c>
      <c r="AJ42" s="57">
        <f t="shared" si="39"/>
        <v>1.4603459667188152E-4</v>
      </c>
      <c r="AK42" s="57">
        <f t="shared" si="40"/>
        <v>0.32718399999999992</v>
      </c>
      <c r="AL42" s="53">
        <f t="shared" si="41"/>
        <v>4.1208068306586583E-2</v>
      </c>
      <c r="AM42" s="53">
        <f t="shared" si="42"/>
        <v>11.628100000000002</v>
      </c>
      <c r="AN42" s="80">
        <f t="shared" si="43"/>
        <v>2.2154875433648701E-2</v>
      </c>
      <c r="AO42" s="80">
        <f t="shared" si="44"/>
        <v>3.3611111111111116</v>
      </c>
      <c r="AP42" s="145">
        <f t="shared" si="45"/>
        <v>3.5738126027109435E-2</v>
      </c>
      <c r="AQ42" s="145">
        <f t="shared" si="46"/>
        <v>8.7459662370230653</v>
      </c>
      <c r="AR42" s="100">
        <f t="shared" si="47"/>
        <v>8.0845154536968982E-3</v>
      </c>
      <c r="AS42" s="100">
        <f t="shared" si="48"/>
        <v>0.44756100000000004</v>
      </c>
      <c r="AT42" s="25">
        <f t="shared" si="49"/>
        <v>2.3643521936423099E-2</v>
      </c>
      <c r="AU42" s="25">
        <f t="shared" si="50"/>
        <v>3.8279705103999992</v>
      </c>
      <c r="AV42" s="53">
        <f>AA42*P42</f>
        <v>0.72506865055577563</v>
      </c>
      <c r="AW42" s="53">
        <f>AA42^2</f>
        <v>3600</v>
      </c>
      <c r="AX42" s="100"/>
      <c r="AY42" s="100"/>
    </row>
    <row r="43" spans="1:96" s="61" customFormat="1" ht="14">
      <c r="A43" s="16" t="s">
        <v>43</v>
      </c>
      <c r="B43" s="14">
        <v>6</v>
      </c>
      <c r="C43" s="14">
        <v>5</v>
      </c>
      <c r="D43" s="22" t="s">
        <v>4</v>
      </c>
      <c r="E43" s="15">
        <f t="shared" si="31"/>
        <v>2.5</v>
      </c>
      <c r="F43" s="15">
        <v>37.1</v>
      </c>
      <c r="G43" s="25">
        <f t="shared" si="53"/>
        <v>1.8517533333333334</v>
      </c>
      <c r="H43" s="15">
        <f t="shared" si="27"/>
        <v>1.3008766666666667</v>
      </c>
      <c r="I43" s="15">
        <v>0.75</v>
      </c>
      <c r="J43" s="25">
        <f t="shared" si="32"/>
        <v>0.71099999999999997</v>
      </c>
      <c r="K43" s="57">
        <f t="shared" si="33"/>
        <v>0.94799999999999995</v>
      </c>
      <c r="L43" s="15">
        <v>0.06</v>
      </c>
      <c r="M43" s="15">
        <v>0.2</v>
      </c>
      <c r="N43" s="70">
        <f t="shared" si="34"/>
        <v>0.1017910447761194</v>
      </c>
      <c r="O43" s="53">
        <f t="shared" si="51"/>
        <v>356.61946132627634</v>
      </c>
      <c r="P43" s="25">
        <f t="shared" si="35"/>
        <v>7.3748078420032568E-3</v>
      </c>
      <c r="Q43" s="15">
        <f t="shared" si="36"/>
        <v>0.5</v>
      </c>
      <c r="R43" s="15"/>
      <c r="S43" s="15">
        <v>0.50600000000000001</v>
      </c>
      <c r="T43" s="70">
        <f>S43</f>
        <v>0.50600000000000001</v>
      </c>
      <c r="U43" s="15"/>
      <c r="V43" s="15">
        <v>0.5</v>
      </c>
      <c r="W43" s="25">
        <f>(V43+K43)/2</f>
        <v>0.72399999999999998</v>
      </c>
      <c r="X43" s="15" t="s">
        <v>225</v>
      </c>
      <c r="Y43" s="15">
        <v>0.1</v>
      </c>
      <c r="Z43" s="25">
        <f t="shared" si="52"/>
        <v>1.9444905213368311</v>
      </c>
      <c r="AA43" s="15" t="s">
        <v>223</v>
      </c>
      <c r="AB43" s="15"/>
      <c r="AC43" s="15"/>
      <c r="AD43" s="75"/>
      <c r="AE43" s="15">
        <v>2.89</v>
      </c>
      <c r="AF43" s="131">
        <f t="shared" si="37"/>
        <v>5.452564237815918E-3</v>
      </c>
      <c r="AG43" s="15">
        <v>1</v>
      </c>
      <c r="AH43" s="15">
        <v>58</v>
      </c>
      <c r="AI43" s="57">
        <f t="shared" si="38"/>
        <v>3.7316527680536478E-3</v>
      </c>
      <c r="AJ43" s="57">
        <f t="shared" si="39"/>
        <v>5.4387790706472736E-5</v>
      </c>
      <c r="AK43" s="57">
        <f t="shared" si="40"/>
        <v>0.25603599999999999</v>
      </c>
      <c r="AL43" s="53">
        <f t="shared" si="41"/>
        <v>2.1313194663389413E-2</v>
      </c>
      <c r="AM43" s="53">
        <f t="shared" si="42"/>
        <v>8.3521000000000001</v>
      </c>
      <c r="AN43" s="80">
        <f t="shared" si="43"/>
        <v>1.8437019605008143E-2</v>
      </c>
      <c r="AO43" s="80">
        <f t="shared" si="44"/>
        <v>6.25</v>
      </c>
      <c r="AP43" s="145">
        <f t="shared" si="45"/>
        <v>1.4340243945455864E-2</v>
      </c>
      <c r="AQ43" s="145">
        <f t="shared" si="46"/>
        <v>3.781043387568781</v>
      </c>
      <c r="AR43" s="100">
        <f t="shared" si="47"/>
        <v>0</v>
      </c>
      <c r="AS43" s="100">
        <f t="shared" si="48"/>
        <v>0</v>
      </c>
      <c r="AT43" s="25">
        <f t="shared" si="49"/>
        <v>9.5937154428123901E-3</v>
      </c>
      <c r="AU43" s="25">
        <f t="shared" si="50"/>
        <v>1.6922801018777778</v>
      </c>
      <c r="AV43" s="53"/>
      <c r="AW43" s="53"/>
      <c r="AX43" s="100"/>
      <c r="AY43" s="100"/>
    </row>
    <row r="44" spans="1:96" s="39" customFormat="1" ht="14">
      <c r="A44" s="116" t="s">
        <v>44</v>
      </c>
      <c r="B44" s="117">
        <v>6</v>
      </c>
      <c r="C44" s="117">
        <v>6</v>
      </c>
      <c r="D44" s="118" t="s">
        <v>4</v>
      </c>
      <c r="E44" s="107">
        <f t="shared" si="31"/>
        <v>2.666666666666667</v>
      </c>
      <c r="F44" s="107">
        <v>34.700000000000003</v>
      </c>
      <c r="G44" s="107">
        <f t="shared" si="53"/>
        <v>1.6672733333333336</v>
      </c>
      <c r="H44" s="107">
        <f t="shared" si="27"/>
        <v>1.2086366666666668</v>
      </c>
      <c r="I44" s="107">
        <v>0.75</v>
      </c>
      <c r="J44" s="107">
        <f t="shared" si="32"/>
        <v>0.78500000000000003</v>
      </c>
      <c r="K44" s="107">
        <f t="shared" si="33"/>
        <v>1.0466666666666666</v>
      </c>
      <c r="L44" s="107">
        <v>0.24</v>
      </c>
      <c r="M44" s="107">
        <v>0.2</v>
      </c>
      <c r="N44" s="107">
        <f t="shared" si="34"/>
        <v>0.10716417910447762</v>
      </c>
      <c r="O44" s="107">
        <f t="shared" si="51"/>
        <v>544.52473399935093</v>
      </c>
      <c r="P44" s="107">
        <f t="shared" si="35"/>
        <v>4.8298999765970865E-3</v>
      </c>
      <c r="Q44" s="107">
        <f t="shared" si="36"/>
        <v>0.44444444444444431</v>
      </c>
      <c r="R44" s="107"/>
      <c r="S44" s="107">
        <v>0.76100000000000001</v>
      </c>
      <c r="T44" s="70">
        <f>S44</f>
        <v>0.76100000000000001</v>
      </c>
      <c r="U44" s="107"/>
      <c r="V44" s="107">
        <v>0.35</v>
      </c>
      <c r="W44" s="25">
        <f>(V44+K44)/2</f>
        <v>0.69833333333333325</v>
      </c>
      <c r="X44" s="107">
        <f>12/131</f>
        <v>9.1603053435114504E-2</v>
      </c>
      <c r="Y44" s="107">
        <f t="shared" ref="Y44:Y54" si="54">X44</f>
        <v>9.1603053435114504E-2</v>
      </c>
      <c r="Z44" s="107">
        <f t="shared" si="52"/>
        <v>1.9923305034489232</v>
      </c>
      <c r="AA44" s="107">
        <v>71</v>
      </c>
      <c r="AB44" s="107"/>
      <c r="AC44" s="107"/>
      <c r="AD44" s="107"/>
      <c r="AE44" s="107">
        <v>2.15</v>
      </c>
      <c r="AF44" s="131">
        <f t="shared" si="37"/>
        <v>3.6588429855443408E-3</v>
      </c>
      <c r="AG44" s="107">
        <v>1</v>
      </c>
      <c r="AH44" s="107">
        <v>58</v>
      </c>
      <c r="AI44" s="57">
        <f t="shared" si="38"/>
        <v>3.6755538821903831E-3</v>
      </c>
      <c r="AJ44" s="57">
        <f t="shared" si="39"/>
        <v>2.3327933783932538E-5</v>
      </c>
      <c r="AK44" s="57">
        <f t="shared" si="40"/>
        <v>0.579121</v>
      </c>
      <c r="AL44" s="53">
        <f t="shared" si="41"/>
        <v>1.0384284949683735E-2</v>
      </c>
      <c r="AM44" s="53">
        <f t="shared" si="42"/>
        <v>4.6224999999999996</v>
      </c>
      <c r="AN44" s="80">
        <f t="shared" si="43"/>
        <v>1.2879733270925566E-2</v>
      </c>
      <c r="AO44" s="80">
        <f t="shared" si="44"/>
        <v>7.1111111111111125</v>
      </c>
      <c r="AP44" s="145">
        <f t="shared" si="45"/>
        <v>9.6227570519816161E-3</v>
      </c>
      <c r="AQ44" s="145">
        <f t="shared" si="46"/>
        <v>3.9693808349730397</v>
      </c>
      <c r="AR44" s="100">
        <f t="shared" si="47"/>
        <v>0</v>
      </c>
      <c r="AS44" s="100">
        <f t="shared" si="48"/>
        <v>0</v>
      </c>
      <c r="AT44" s="25">
        <f t="shared" si="49"/>
        <v>5.8375942080477142E-3</v>
      </c>
      <c r="AU44" s="25">
        <f t="shared" si="50"/>
        <v>1.4608025920111114</v>
      </c>
      <c r="AV44" s="53">
        <f>AA44*P44</f>
        <v>0.34292289833839312</v>
      </c>
      <c r="AW44" s="53">
        <f>AA44^2</f>
        <v>5041</v>
      </c>
      <c r="AX44" s="158"/>
      <c r="AY44" s="158"/>
    </row>
    <row r="45" spans="1:96" s="49" customFormat="1" ht="14">
      <c r="A45" s="116" t="s">
        <v>45</v>
      </c>
      <c r="B45" s="117">
        <v>1</v>
      </c>
      <c r="C45" s="117">
        <v>1</v>
      </c>
      <c r="D45" s="118" t="s">
        <v>8</v>
      </c>
      <c r="E45" s="107">
        <f t="shared" si="31"/>
        <v>1</v>
      </c>
      <c r="F45" s="107">
        <v>39.4</v>
      </c>
      <c r="G45" s="107">
        <f t="shared" si="53"/>
        <v>2.0285466666666663</v>
      </c>
      <c r="H45" s="107">
        <f t="shared" si="27"/>
        <v>1.3492733333333331</v>
      </c>
      <c r="I45" s="107">
        <v>0.67</v>
      </c>
      <c r="J45" s="107">
        <f t="shared" si="32"/>
        <v>0.19600000000000006</v>
      </c>
      <c r="K45" s="107">
        <f t="shared" si="33"/>
        <v>0.26133333333333342</v>
      </c>
      <c r="L45" s="107">
        <v>0.09</v>
      </c>
      <c r="M45" s="107">
        <v>0.2</v>
      </c>
      <c r="N45" s="107">
        <f t="shared" si="34"/>
        <v>0.10268656716417911</v>
      </c>
      <c r="O45" s="107">
        <f t="shared" si="51"/>
        <v>5.5471996554202816</v>
      </c>
      <c r="P45" s="107">
        <f t="shared" si="35"/>
        <v>0.47411309550219155</v>
      </c>
      <c r="Q45" s="107">
        <f t="shared" si="36"/>
        <v>1</v>
      </c>
      <c r="R45" s="107">
        <v>50.3</v>
      </c>
      <c r="S45" s="107">
        <f>1-0.725</f>
        <v>0.27500000000000002</v>
      </c>
      <c r="T45" s="107">
        <f>(R45/100+S45)/2</f>
        <v>0.38900000000000001</v>
      </c>
      <c r="U45" s="107">
        <v>0.44500000000000001</v>
      </c>
      <c r="V45" s="107">
        <v>0.6</v>
      </c>
      <c r="W45" s="107">
        <f t="shared" ref="W45:W51" si="55">(V45+U45+J45)/3</f>
        <v>0.41366666666666668</v>
      </c>
      <c r="X45" s="107">
        <f>0</f>
        <v>0</v>
      </c>
      <c r="Y45" s="107">
        <f t="shared" si="54"/>
        <v>0</v>
      </c>
      <c r="Z45" s="107">
        <f t="shared" si="52"/>
        <v>2.2314836243746932</v>
      </c>
      <c r="AA45" s="107">
        <v>24.2</v>
      </c>
      <c r="AB45" s="107">
        <v>6.5</v>
      </c>
      <c r="AC45" s="107">
        <v>4.3</v>
      </c>
      <c r="AD45" s="107"/>
      <c r="AE45" s="107">
        <v>8.0399999999999991</v>
      </c>
      <c r="AF45" s="131">
        <f t="shared" si="37"/>
        <v>0.40227209456834045</v>
      </c>
      <c r="AG45" s="107">
        <v>1</v>
      </c>
      <c r="AH45" s="45">
        <v>38</v>
      </c>
      <c r="AI45" s="57">
        <f t="shared" si="38"/>
        <v>0.13038110126310268</v>
      </c>
      <c r="AJ45" s="57">
        <f t="shared" si="39"/>
        <v>0.22478322732667019</v>
      </c>
      <c r="AK45" s="57">
        <f t="shared" si="40"/>
        <v>7.5625000000000012E-2</v>
      </c>
      <c r="AL45" s="53">
        <f t="shared" si="41"/>
        <v>3.8118692878376197</v>
      </c>
      <c r="AM45" s="53">
        <f t="shared" si="42"/>
        <v>64.641599999999983</v>
      </c>
      <c r="AN45" s="80">
        <f t="shared" si="43"/>
        <v>0.47411309550219155</v>
      </c>
      <c r="AO45" s="80">
        <f t="shared" si="44"/>
        <v>1</v>
      </c>
      <c r="AP45" s="145">
        <f t="shared" si="45"/>
        <v>1.0579756087147354</v>
      </c>
      <c r="AQ45" s="145">
        <f t="shared" si="46"/>
        <v>4.9795191658524169</v>
      </c>
      <c r="AR45" s="100">
        <f t="shared" si="47"/>
        <v>2.0386863106594237</v>
      </c>
      <c r="AS45" s="100">
        <f t="shared" si="48"/>
        <v>18.489999999999998</v>
      </c>
      <c r="AT45" s="25">
        <f t="shared" si="49"/>
        <v>0.63970815674522685</v>
      </c>
      <c r="AU45" s="25">
        <f t="shared" si="50"/>
        <v>1.8205385280444437</v>
      </c>
      <c r="AV45" s="53">
        <f>AA45*P45</f>
        <v>11.473536911153035</v>
      </c>
      <c r="AW45" s="53">
        <f>AA45^2</f>
        <v>585.64</v>
      </c>
      <c r="AX45" s="100">
        <f>P45*R45</f>
        <v>23.847888703760233</v>
      </c>
      <c r="AY45" s="100">
        <f>R45*R45</f>
        <v>2530.0899999999997</v>
      </c>
    </row>
    <row r="46" spans="1:96" s="107" customFormat="1" ht="14">
      <c r="A46" s="140" t="s">
        <v>196</v>
      </c>
      <c r="B46" s="72">
        <v>7</v>
      </c>
      <c r="C46" s="72">
        <v>6</v>
      </c>
      <c r="D46" s="73" t="s">
        <v>4</v>
      </c>
      <c r="E46" s="74">
        <f t="shared" si="31"/>
        <v>2.833333333333333</v>
      </c>
      <c r="F46" s="74">
        <v>31.8</v>
      </c>
      <c r="G46" s="74">
        <f t="shared" si="53"/>
        <v>1.4443600000000001</v>
      </c>
      <c r="H46" s="74">
        <f t="shared" si="27"/>
        <v>1.09718</v>
      </c>
      <c r="I46" s="74">
        <v>0.75</v>
      </c>
      <c r="J46" s="74">
        <f t="shared" si="32"/>
        <v>0.69799999999999995</v>
      </c>
      <c r="K46" s="74">
        <f t="shared" si="33"/>
        <v>0.93066666666666664</v>
      </c>
      <c r="L46" s="74">
        <v>0.16</v>
      </c>
      <c r="M46" s="74">
        <v>0.2</v>
      </c>
      <c r="N46" s="74">
        <f t="shared" si="34"/>
        <v>0.10477611940298508</v>
      </c>
      <c r="O46" s="74">
        <f t="shared" si="51"/>
        <v>420.91513222503443</v>
      </c>
      <c r="P46" s="74">
        <f t="shared" si="35"/>
        <v>6.2482904477616152E-3</v>
      </c>
      <c r="Q46" s="74">
        <f t="shared" si="36"/>
        <v>0.38888888888888895</v>
      </c>
      <c r="R46" s="74">
        <v>41.5</v>
      </c>
      <c r="S46" s="74">
        <v>0.60299999999999998</v>
      </c>
      <c r="T46" s="74">
        <f>(R46/100+S46)/2</f>
        <v>0.50900000000000001</v>
      </c>
      <c r="U46" s="74">
        <v>0.65800000000000003</v>
      </c>
      <c r="V46" s="74">
        <v>1.58</v>
      </c>
      <c r="W46" s="74">
        <f t="shared" si="55"/>
        <v>0.97866666666666668</v>
      </c>
      <c r="X46" s="74">
        <f>29/120</f>
        <v>0.24166666666666667</v>
      </c>
      <c r="Y46" s="74">
        <f t="shared" si="54"/>
        <v>0.24166666666666667</v>
      </c>
      <c r="Z46" s="74">
        <f t="shared" si="52"/>
        <v>1.9591653065245767</v>
      </c>
      <c r="AA46" s="74">
        <v>42</v>
      </c>
      <c r="AB46" s="74"/>
      <c r="AC46" s="74">
        <v>21</v>
      </c>
      <c r="AD46" s="74"/>
      <c r="AE46" s="74">
        <v>3.02</v>
      </c>
      <c r="AF46" s="131">
        <f t="shared" si="37"/>
        <v>4.6545375932864905E-3</v>
      </c>
      <c r="AG46" s="74">
        <v>1</v>
      </c>
      <c r="AH46" s="74">
        <v>58</v>
      </c>
      <c r="AI46" s="57">
        <f t="shared" si="38"/>
        <v>3.7677191400002537E-3</v>
      </c>
      <c r="AJ46" s="57">
        <f t="shared" si="39"/>
        <v>3.9041133519589043E-5</v>
      </c>
      <c r="AK46" s="57">
        <f t="shared" si="40"/>
        <v>0.36360899999999996</v>
      </c>
      <c r="AL46" s="53">
        <f t="shared" si="41"/>
        <v>1.8869837152240079E-2</v>
      </c>
      <c r="AM46" s="53">
        <f t="shared" si="42"/>
        <v>9.1204000000000001</v>
      </c>
      <c r="AN46" s="80">
        <f t="shared" si="43"/>
        <v>1.7703489601991241E-2</v>
      </c>
      <c r="AO46" s="80">
        <f t="shared" si="44"/>
        <v>8.0277777777777768</v>
      </c>
      <c r="AP46" s="145">
        <f t="shared" si="45"/>
        <v>1.2241433870343469E-2</v>
      </c>
      <c r="AQ46" s="145">
        <f t="shared" si="46"/>
        <v>3.8383286982895384</v>
      </c>
      <c r="AR46" s="100">
        <f t="shared" si="47"/>
        <v>0.13121409940299392</v>
      </c>
      <c r="AS46" s="100">
        <f t="shared" si="48"/>
        <v>441</v>
      </c>
      <c r="AT46" s="25">
        <f t="shared" si="49"/>
        <v>6.8554993134750889E-3</v>
      </c>
      <c r="AU46" s="25">
        <f t="shared" si="50"/>
        <v>1.2038039524000002</v>
      </c>
      <c r="AV46" s="53">
        <f>AA46*P46</f>
        <v>0.26242819880598783</v>
      </c>
      <c r="AW46" s="53">
        <f>AA46^2</f>
        <v>1764</v>
      </c>
      <c r="AX46" s="100">
        <f>P46*R46</f>
        <v>0.25930405358210701</v>
      </c>
      <c r="AY46" s="100">
        <f>R46*R46</f>
        <v>1722.25</v>
      </c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</row>
    <row r="47" spans="1:96" s="13" customFormat="1" ht="14">
      <c r="A47" s="46" t="s">
        <v>46</v>
      </c>
      <c r="B47" s="47">
        <v>1</v>
      </c>
      <c r="C47" s="47">
        <v>2</v>
      </c>
      <c r="D47" s="48" t="s">
        <v>8</v>
      </c>
      <c r="E47" s="49">
        <f t="shared" si="31"/>
        <v>1.1666666666666667</v>
      </c>
      <c r="F47" s="49">
        <v>3.3</v>
      </c>
      <c r="G47" s="49">
        <f t="shared" si="53"/>
        <v>-0.74634</v>
      </c>
      <c r="H47" s="49">
        <v>0.75</v>
      </c>
      <c r="I47" s="49">
        <v>0.75</v>
      </c>
      <c r="J47" s="49">
        <f t="shared" si="32"/>
        <v>0.31900000000000006</v>
      </c>
      <c r="K47" s="49">
        <f t="shared" si="33"/>
        <v>0.4253333333333334</v>
      </c>
      <c r="L47" s="49">
        <v>0.17</v>
      </c>
      <c r="M47" s="49">
        <v>0.2</v>
      </c>
      <c r="N47" s="49">
        <f t="shared" si="34"/>
        <v>0.10507462686567165</v>
      </c>
      <c r="O47" s="49">
        <f t="shared" si="51"/>
        <v>4.4540299223560673</v>
      </c>
      <c r="P47" s="49">
        <f t="shared" si="35"/>
        <v>0.59047650012391417</v>
      </c>
      <c r="Q47" s="49">
        <f t="shared" si="36"/>
        <v>0.94444444444444442</v>
      </c>
      <c r="R47" s="49">
        <v>27</v>
      </c>
      <c r="S47" s="49">
        <f>1-0.767</f>
        <v>0.23299999999999998</v>
      </c>
      <c r="T47" s="49">
        <f>(R47/100+S47)/2</f>
        <v>0.2515</v>
      </c>
      <c r="U47" s="49">
        <v>0.439</v>
      </c>
      <c r="V47" s="49">
        <v>0.93</v>
      </c>
      <c r="W47" s="49">
        <f t="shared" si="55"/>
        <v>0.56266666666666676</v>
      </c>
      <c r="X47" s="49">
        <f>-6/105</f>
        <v>-5.7142857142857141E-2</v>
      </c>
      <c r="Y47" s="49">
        <f t="shared" si="54"/>
        <v>-5.7142857142857141E-2</v>
      </c>
      <c r="Z47" s="49">
        <f t="shared" si="52"/>
        <v>2.0441190846103012</v>
      </c>
      <c r="AA47" s="49">
        <v>18</v>
      </c>
      <c r="AB47" s="49">
        <v>17.899999999999999</v>
      </c>
      <c r="AC47" s="49">
        <v>4.29</v>
      </c>
      <c r="AD47" s="49"/>
      <c r="AE47" s="49">
        <v>6.81</v>
      </c>
      <c r="AF47" s="131">
        <f t="shared" si="37"/>
        <v>0.45893698970235358</v>
      </c>
      <c r="AG47" s="49">
        <v>1</v>
      </c>
      <c r="AH47" s="49">
        <v>27</v>
      </c>
      <c r="AI47" s="57">
        <f t="shared" si="38"/>
        <v>0.137581024528872</v>
      </c>
      <c r="AJ47" s="57">
        <f t="shared" si="39"/>
        <v>0.34866249719858683</v>
      </c>
      <c r="AK47" s="57">
        <f t="shared" si="40"/>
        <v>5.428899999999999E-2</v>
      </c>
      <c r="AL47" s="53">
        <f t="shared" si="41"/>
        <v>4.0211449658438552</v>
      </c>
      <c r="AM47" s="53">
        <f t="shared" si="42"/>
        <v>46.376099999999994</v>
      </c>
      <c r="AN47" s="80">
        <f t="shared" si="43"/>
        <v>0.68888925014456659</v>
      </c>
      <c r="AO47" s="80">
        <f t="shared" si="44"/>
        <v>1.3611111111111114</v>
      </c>
      <c r="AP47" s="145">
        <f t="shared" si="45"/>
        <v>1.2070042829171899</v>
      </c>
      <c r="AQ47" s="145">
        <f t="shared" si="46"/>
        <v>4.1784228320680556</v>
      </c>
      <c r="AR47" s="100">
        <f t="shared" si="47"/>
        <v>2.5331441855315919</v>
      </c>
      <c r="AS47" s="100">
        <f t="shared" si="48"/>
        <v>18.4041</v>
      </c>
      <c r="AT47" s="25">
        <f t="shared" si="49"/>
        <v>0.44285737509293566</v>
      </c>
      <c r="AU47" s="25">
        <f t="shared" si="50"/>
        <v>0.5625</v>
      </c>
      <c r="AV47" s="53">
        <f>AA47*P47</f>
        <v>10.628577002230456</v>
      </c>
      <c r="AW47" s="53">
        <f>AA47^2</f>
        <v>324</v>
      </c>
      <c r="AX47" s="100">
        <f>P47*R47</f>
        <v>15.942865503345683</v>
      </c>
      <c r="AY47" s="100">
        <f>R47*R47</f>
        <v>729</v>
      </c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</row>
    <row r="48" spans="1:96" s="105" customFormat="1" ht="14">
      <c r="A48" s="26" t="s">
        <v>47</v>
      </c>
      <c r="B48" s="24">
        <v>7</v>
      </c>
      <c r="C48" s="24">
        <v>6</v>
      </c>
      <c r="D48" s="27" t="s">
        <v>4</v>
      </c>
      <c r="E48" s="25">
        <f t="shared" si="31"/>
        <v>2.833333333333333</v>
      </c>
      <c r="F48" s="25"/>
      <c r="G48" s="25">
        <f t="shared" si="53"/>
        <v>-1</v>
      </c>
      <c r="H48" s="25">
        <v>1</v>
      </c>
      <c r="I48" s="25">
        <v>1</v>
      </c>
      <c r="J48" s="25">
        <f t="shared" si="32"/>
        <v>0.64800000000000002</v>
      </c>
      <c r="K48" s="57">
        <f t="shared" si="33"/>
        <v>0.86399999999999999</v>
      </c>
      <c r="L48" s="25">
        <v>0</v>
      </c>
      <c r="M48" s="25">
        <v>0.2</v>
      </c>
      <c r="N48" s="70">
        <f t="shared" si="34"/>
        <v>0.1</v>
      </c>
      <c r="O48" s="53">
        <f t="shared" si="51"/>
        <v>261.03817648054223</v>
      </c>
      <c r="P48" s="25">
        <f t="shared" si="35"/>
        <v>1.0075154659211466E-2</v>
      </c>
      <c r="Q48" s="25">
        <f t="shared" si="36"/>
        <v>0.38888888888888895</v>
      </c>
      <c r="R48" s="25"/>
      <c r="S48" s="110">
        <v>0.79</v>
      </c>
      <c r="T48" s="70">
        <f>S48</f>
        <v>0.79</v>
      </c>
      <c r="U48" s="25">
        <v>0.34899999999999998</v>
      </c>
      <c r="V48" s="25">
        <v>0.85</v>
      </c>
      <c r="W48" s="25">
        <f t="shared" si="55"/>
        <v>0.6156666666666667</v>
      </c>
      <c r="X48" s="25">
        <f>8/125</f>
        <v>6.4000000000000001E-2</v>
      </c>
      <c r="Y48" s="25">
        <f t="shared" si="54"/>
        <v>6.4000000000000001E-2</v>
      </c>
      <c r="Z48" s="25">
        <f t="shared" si="52"/>
        <v>1.7709870332040294</v>
      </c>
      <c r="AA48" s="25" t="s">
        <v>223</v>
      </c>
      <c r="AB48" s="25">
        <v>3.8</v>
      </c>
      <c r="AC48" s="25">
        <v>11.24</v>
      </c>
      <c r="AD48" s="75"/>
      <c r="AE48" s="25">
        <v>3.52</v>
      </c>
      <c r="AF48" s="131">
        <f t="shared" si="37"/>
        <v>6.7843985775622312E-3</v>
      </c>
      <c r="AG48" s="15">
        <v>1</v>
      </c>
      <c r="AH48" s="15">
        <v>38</v>
      </c>
      <c r="AI48" s="57">
        <f t="shared" si="38"/>
        <v>7.9593721807770593E-3</v>
      </c>
      <c r="AJ48" s="57">
        <f t="shared" si="39"/>
        <v>1.0150874140703051E-4</v>
      </c>
      <c r="AK48" s="57">
        <f t="shared" si="40"/>
        <v>0.6241000000000001</v>
      </c>
      <c r="AL48" s="53">
        <f t="shared" si="41"/>
        <v>3.5464544400424361E-2</v>
      </c>
      <c r="AM48" s="53">
        <f t="shared" si="42"/>
        <v>12.3904</v>
      </c>
      <c r="AN48" s="80">
        <f t="shared" si="43"/>
        <v>2.8546271534432482E-2</v>
      </c>
      <c r="AO48" s="80">
        <f t="shared" si="44"/>
        <v>8.0277777777777768</v>
      </c>
      <c r="AP48" s="145">
        <f t="shared" si="45"/>
        <v>1.7842968258988668E-2</v>
      </c>
      <c r="AQ48" s="145">
        <f t="shared" si="46"/>
        <v>3.1363950717768101</v>
      </c>
      <c r="AR48" s="100">
        <f t="shared" si="47"/>
        <v>0.11324473836953688</v>
      </c>
      <c r="AS48" s="100">
        <f t="shared" si="48"/>
        <v>126.33760000000001</v>
      </c>
      <c r="AT48" s="25">
        <f t="shared" si="49"/>
        <v>1.0075154659211466E-2</v>
      </c>
      <c r="AU48" s="25">
        <f t="shared" si="50"/>
        <v>1</v>
      </c>
      <c r="AV48" s="53"/>
      <c r="AW48" s="53"/>
      <c r="AX48" s="100"/>
      <c r="AY48" s="100"/>
    </row>
    <row r="49" spans="1:96" s="66" customFormat="1" ht="14">
      <c r="A49" s="76" t="s">
        <v>199</v>
      </c>
      <c r="B49" s="77">
        <v>1</v>
      </c>
      <c r="C49" s="77">
        <v>1</v>
      </c>
      <c r="D49" s="78" t="s">
        <v>8</v>
      </c>
      <c r="E49" s="79">
        <f t="shared" si="31"/>
        <v>1</v>
      </c>
      <c r="F49" s="79"/>
      <c r="G49" s="25">
        <f t="shared" si="53"/>
        <v>-1</v>
      </c>
      <c r="H49" s="79">
        <v>0.67</v>
      </c>
      <c r="I49" s="79">
        <v>0.67</v>
      </c>
      <c r="J49" s="25">
        <f t="shared" si="32"/>
        <v>0.27100000000000002</v>
      </c>
      <c r="K49" s="57">
        <f t="shared" si="33"/>
        <v>0.36133333333333334</v>
      </c>
      <c r="L49" s="79">
        <v>0.09</v>
      </c>
      <c r="M49" s="79">
        <v>0.2</v>
      </c>
      <c r="N49" s="70">
        <f t="shared" si="34"/>
        <v>0.10268656716417911</v>
      </c>
      <c r="O49" s="53">
        <f t="shared" si="51"/>
        <v>3.1081257770644379</v>
      </c>
      <c r="P49" s="25">
        <f t="shared" si="35"/>
        <v>0.84616910274589396</v>
      </c>
      <c r="Q49" s="79">
        <f t="shared" si="36"/>
        <v>1</v>
      </c>
      <c r="R49" s="79">
        <v>29</v>
      </c>
      <c r="S49" s="79">
        <f>1-0.81</f>
        <v>0.18999999999999995</v>
      </c>
      <c r="T49" s="79">
        <f>(R49/100+S49)/2</f>
        <v>0.23999999999999996</v>
      </c>
      <c r="U49" s="79">
        <v>0.66800000000000004</v>
      </c>
      <c r="V49" s="79">
        <v>1</v>
      </c>
      <c r="W49" s="79">
        <f t="shared" si="55"/>
        <v>0.64633333333333332</v>
      </c>
      <c r="X49" s="79">
        <f>19/112</f>
        <v>0.16964285714285715</v>
      </c>
      <c r="Y49" s="79">
        <f t="shared" si="54"/>
        <v>0.16964285714285715</v>
      </c>
      <c r="Z49" s="25">
        <f t="shared" si="52"/>
        <v>2.8747801175610967</v>
      </c>
      <c r="AA49" s="79" t="s">
        <v>223</v>
      </c>
      <c r="AB49" s="79">
        <v>5.0999999999999996</v>
      </c>
      <c r="AC49" s="79">
        <v>0.83799999999999997</v>
      </c>
      <c r="AD49" s="75"/>
      <c r="AE49" s="79">
        <v>7.29</v>
      </c>
      <c r="AF49" s="131">
        <f t="shared" si="37"/>
        <v>0.92492399721232277</v>
      </c>
      <c r="AG49" s="15">
        <v>1</v>
      </c>
      <c r="AH49" s="107">
        <v>29</v>
      </c>
      <c r="AI49" s="57">
        <f t="shared" si="38"/>
        <v>0.16077212952171982</v>
      </c>
      <c r="AJ49" s="57">
        <f t="shared" si="39"/>
        <v>0.71600215044179127</v>
      </c>
      <c r="AK49" s="57">
        <f t="shared" si="40"/>
        <v>3.6099999999999979E-2</v>
      </c>
      <c r="AL49" s="53">
        <f t="shared" si="41"/>
        <v>6.1685727590175672</v>
      </c>
      <c r="AM49" s="53">
        <f t="shared" si="42"/>
        <v>53.144100000000002</v>
      </c>
      <c r="AN49" s="80">
        <f t="shared" si="43"/>
        <v>0.84616910274589396</v>
      </c>
      <c r="AO49" s="80">
        <f t="shared" si="44"/>
        <v>1</v>
      </c>
      <c r="AP49" s="145">
        <f t="shared" si="45"/>
        <v>2.4325501126684088</v>
      </c>
      <c r="AQ49" s="145">
        <f t="shared" si="46"/>
        <v>8.2643607243245931</v>
      </c>
      <c r="AR49" s="100">
        <f t="shared" si="47"/>
        <v>0.70908970810105909</v>
      </c>
      <c r="AS49" s="100">
        <f t="shared" si="48"/>
        <v>0.70224399999999998</v>
      </c>
      <c r="AT49" s="25">
        <f t="shared" si="49"/>
        <v>0.56693329883974897</v>
      </c>
      <c r="AU49" s="25">
        <f t="shared" si="50"/>
        <v>0.44890000000000008</v>
      </c>
      <c r="AV49" s="53"/>
      <c r="AW49" s="53"/>
      <c r="AX49" s="100">
        <f>P49*R49</f>
        <v>24.538903979630923</v>
      </c>
      <c r="AY49" s="100">
        <f>R49*R49</f>
        <v>841</v>
      </c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</row>
    <row r="50" spans="1:96" s="105" customFormat="1" ht="14">
      <c r="A50" s="46" t="s">
        <v>48</v>
      </c>
      <c r="B50" s="47">
        <v>1</v>
      </c>
      <c r="C50" s="47">
        <v>1</v>
      </c>
      <c r="D50" s="48" t="s">
        <v>8</v>
      </c>
      <c r="E50" s="49">
        <f t="shared" si="31"/>
        <v>1</v>
      </c>
      <c r="F50" s="49"/>
      <c r="G50" s="49">
        <f t="shared" si="53"/>
        <v>-1</v>
      </c>
      <c r="H50" s="49">
        <v>0.75</v>
      </c>
      <c r="I50" s="49">
        <v>0.75</v>
      </c>
      <c r="J50" s="49">
        <f t="shared" si="32"/>
        <v>0.18100000000000005</v>
      </c>
      <c r="K50" s="49">
        <f t="shared" si="33"/>
        <v>0.2413333333333334</v>
      </c>
      <c r="L50" s="49">
        <v>0.43</v>
      </c>
      <c r="M50" s="49">
        <v>0.4</v>
      </c>
      <c r="N50" s="49">
        <f t="shared" si="34"/>
        <v>0.21283582089552239</v>
      </c>
      <c r="O50" s="49">
        <f t="shared" si="51"/>
        <v>3.3339878972694121</v>
      </c>
      <c r="P50" s="49">
        <f t="shared" si="35"/>
        <v>0.78884509513487155</v>
      </c>
      <c r="Q50" s="49">
        <f t="shared" si="36"/>
        <v>1</v>
      </c>
      <c r="R50" s="49">
        <v>31</v>
      </c>
      <c r="S50" s="49">
        <f>1-0.841</f>
        <v>0.15900000000000003</v>
      </c>
      <c r="T50" s="49">
        <f>(R50/100+S50)/2</f>
        <v>0.23450000000000001</v>
      </c>
      <c r="U50" s="49">
        <v>0.40699999999999997</v>
      </c>
      <c r="V50" s="49">
        <v>0.82</v>
      </c>
      <c r="W50" s="49">
        <f t="shared" si="55"/>
        <v>0.46933333333333332</v>
      </c>
      <c r="X50" s="49">
        <f>-4/114</f>
        <v>-3.5087719298245612E-2</v>
      </c>
      <c r="Y50" s="49">
        <f t="shared" si="54"/>
        <v>-3.5087719298245612E-2</v>
      </c>
      <c r="Z50" s="49">
        <f t="shared" si="52"/>
        <v>1.9517874896068865</v>
      </c>
      <c r="AA50" s="49">
        <v>9</v>
      </c>
      <c r="AB50" s="49">
        <v>8.5</v>
      </c>
      <c r="AC50" s="49">
        <v>10.548</v>
      </c>
      <c r="AD50" s="49"/>
      <c r="AE50" s="49">
        <v>8.19</v>
      </c>
      <c r="AF50" s="131">
        <f t="shared" si="37"/>
        <v>0.58542128818326866</v>
      </c>
      <c r="AG50" s="49">
        <v>1</v>
      </c>
      <c r="AH50" s="49">
        <v>27</v>
      </c>
      <c r="AI50" s="57">
        <f t="shared" si="38"/>
        <v>0.12542637012644461</v>
      </c>
      <c r="AJ50" s="57">
        <f t="shared" si="39"/>
        <v>0.62227658411834452</v>
      </c>
      <c r="AK50" s="57">
        <f t="shared" si="40"/>
        <v>2.5281000000000008E-2</v>
      </c>
      <c r="AL50" s="53">
        <f t="shared" si="41"/>
        <v>6.4606413291545977</v>
      </c>
      <c r="AM50" s="53">
        <f t="shared" si="42"/>
        <v>67.076099999999997</v>
      </c>
      <c r="AN50" s="80">
        <f t="shared" si="43"/>
        <v>0.78884509513487155</v>
      </c>
      <c r="AO50" s="80">
        <f t="shared" si="44"/>
        <v>1</v>
      </c>
      <c r="AP50" s="145">
        <f t="shared" si="45"/>
        <v>1.5396579879219965</v>
      </c>
      <c r="AQ50" s="145">
        <f t="shared" si="46"/>
        <v>3.8094744045859521</v>
      </c>
      <c r="AR50" s="100">
        <f t="shared" si="47"/>
        <v>8.3207380634826258</v>
      </c>
      <c r="AS50" s="100">
        <f t="shared" si="48"/>
        <v>111.260304</v>
      </c>
      <c r="AT50" s="25">
        <f t="shared" si="49"/>
        <v>0.59163382135115361</v>
      </c>
      <c r="AU50" s="25">
        <f t="shared" si="50"/>
        <v>0.5625</v>
      </c>
      <c r="AV50" s="53">
        <f t="shared" ref="AV50:AV58" si="56">AA50*P50</f>
        <v>7.0996058562138442</v>
      </c>
      <c r="AW50" s="53">
        <f t="shared" ref="AW50:AW58" si="57">AA50^2</f>
        <v>81</v>
      </c>
      <c r="AX50" s="100">
        <f>P50*R50</f>
        <v>24.454197949181019</v>
      </c>
      <c r="AY50" s="100">
        <f>R50*R50</f>
        <v>961</v>
      </c>
      <c r="AZ50" s="124"/>
      <c r="BA50" s="124"/>
      <c r="BB50" s="124"/>
      <c r="BC50" s="124"/>
      <c r="BD50" s="124"/>
      <c r="BE50" s="124"/>
      <c r="BF50" s="124"/>
      <c r="BG50" s="124"/>
      <c r="BH50" s="124"/>
      <c r="BI50" s="124"/>
      <c r="BJ50" s="124"/>
      <c r="BK50" s="124"/>
      <c r="BL50" s="124"/>
      <c r="BM50" s="124"/>
      <c r="BN50" s="124"/>
      <c r="BO50" s="124"/>
      <c r="BP50" s="124"/>
      <c r="BQ50" s="124"/>
      <c r="BR50" s="124"/>
      <c r="BS50" s="124"/>
      <c r="BT50" s="124"/>
      <c r="BU50" s="124"/>
      <c r="BV50" s="124"/>
      <c r="BW50" s="124"/>
      <c r="BX50" s="124"/>
      <c r="BY50" s="124"/>
      <c r="BZ50" s="124"/>
      <c r="CA50" s="124"/>
      <c r="CB50" s="124"/>
      <c r="CC50" s="124"/>
      <c r="CD50" s="124"/>
      <c r="CE50" s="124"/>
      <c r="CF50" s="124"/>
      <c r="CG50" s="124"/>
      <c r="CH50" s="124"/>
      <c r="CI50" s="124"/>
      <c r="CJ50" s="124"/>
      <c r="CK50" s="124"/>
      <c r="CL50" s="124"/>
      <c r="CM50" s="124"/>
      <c r="CN50" s="124"/>
      <c r="CO50" s="124"/>
      <c r="CP50" s="124"/>
      <c r="CQ50" s="124"/>
      <c r="CR50" s="124"/>
    </row>
    <row r="51" spans="1:96" s="49" customFormat="1" ht="14">
      <c r="A51" s="46" t="s">
        <v>49</v>
      </c>
      <c r="B51" s="47">
        <v>1</v>
      </c>
      <c r="C51" s="47">
        <v>1</v>
      </c>
      <c r="D51" s="48" t="s">
        <v>8</v>
      </c>
      <c r="E51" s="49">
        <f t="shared" si="31"/>
        <v>1</v>
      </c>
      <c r="F51" s="49">
        <v>28.7</v>
      </c>
      <c r="G51" s="25">
        <f t="shared" si="53"/>
        <v>1.2060733333333333</v>
      </c>
      <c r="H51" s="49">
        <f>(G51+I51)/2</f>
        <v>0.97803666666666667</v>
      </c>
      <c r="I51" s="49">
        <v>0.75</v>
      </c>
      <c r="J51" s="25">
        <f t="shared" si="32"/>
        <v>4.8000000000000043E-2</v>
      </c>
      <c r="K51" s="57">
        <f t="shared" si="33"/>
        <v>6.4000000000000057E-2</v>
      </c>
      <c r="L51" s="49">
        <v>0.78</v>
      </c>
      <c r="M51" s="49">
        <v>0.4</v>
      </c>
      <c r="N51" s="70">
        <f t="shared" si="34"/>
        <v>0.22328358208955226</v>
      </c>
      <c r="O51" s="53">
        <f t="shared" si="51"/>
        <v>3.5442275888587806</v>
      </c>
      <c r="P51" s="25">
        <f t="shared" si="35"/>
        <v>0.74205166966911507</v>
      </c>
      <c r="Q51" s="49">
        <f t="shared" si="36"/>
        <v>1</v>
      </c>
      <c r="R51" s="49">
        <v>24.8</v>
      </c>
      <c r="S51" s="49">
        <f>1-0.863</f>
        <v>0.13700000000000001</v>
      </c>
      <c r="T51" s="49">
        <f>(R51/100+S51)/2</f>
        <v>0.1925</v>
      </c>
      <c r="U51" s="49">
        <v>0.46500000000000002</v>
      </c>
      <c r="V51" s="49">
        <v>0.9</v>
      </c>
      <c r="W51" s="49">
        <f t="shared" si="55"/>
        <v>0.47100000000000003</v>
      </c>
      <c r="X51" s="49">
        <f>2/100</f>
        <v>0.02</v>
      </c>
      <c r="Y51" s="49">
        <f t="shared" si="54"/>
        <v>0.02</v>
      </c>
      <c r="Z51" s="25">
        <f t="shared" si="52"/>
        <v>1.9807984084117158</v>
      </c>
      <c r="AA51" s="49">
        <v>13.4</v>
      </c>
      <c r="AB51" s="49">
        <v>6</v>
      </c>
      <c r="AC51" s="49">
        <v>5.5</v>
      </c>
      <c r="AD51" s="75"/>
      <c r="AE51" s="49">
        <v>9.52</v>
      </c>
      <c r="AF51" s="131">
        <f t="shared" si="37"/>
        <v>0.55888013925469182</v>
      </c>
      <c r="AG51" s="57">
        <v>1</v>
      </c>
      <c r="AH51" s="57">
        <v>21</v>
      </c>
      <c r="AI51" s="57">
        <f t="shared" si="38"/>
        <v>0.10166107874466877</v>
      </c>
      <c r="AJ51" s="57">
        <f t="shared" si="39"/>
        <v>0.5506406804587215</v>
      </c>
      <c r="AK51" s="57">
        <f t="shared" si="40"/>
        <v>1.8769000000000004E-2</v>
      </c>
      <c r="AL51" s="53">
        <f t="shared" si="41"/>
        <v>7.0643318952499747</v>
      </c>
      <c r="AM51" s="53">
        <f t="shared" si="42"/>
        <v>90.630399999999995</v>
      </c>
      <c r="AN51" s="80">
        <f t="shared" si="43"/>
        <v>0.74205166966911507</v>
      </c>
      <c r="AO51" s="80">
        <f t="shared" si="44"/>
        <v>1</v>
      </c>
      <c r="AP51" s="145">
        <f t="shared" si="45"/>
        <v>1.4698547662398393</v>
      </c>
      <c r="AQ51" s="145">
        <f t="shared" si="46"/>
        <v>3.9235623347663866</v>
      </c>
      <c r="AR51" s="100">
        <f t="shared" si="47"/>
        <v>4.0812841831801325</v>
      </c>
      <c r="AS51" s="100">
        <f t="shared" si="48"/>
        <v>30.25</v>
      </c>
      <c r="AT51" s="25">
        <f t="shared" si="49"/>
        <v>0.72575374149761573</v>
      </c>
      <c r="AU51" s="25">
        <f t="shared" si="50"/>
        <v>0.95655572134444444</v>
      </c>
      <c r="AV51" s="53">
        <f t="shared" si="56"/>
        <v>9.9434923735661425</v>
      </c>
      <c r="AW51" s="53">
        <f t="shared" si="57"/>
        <v>179.56</v>
      </c>
      <c r="AX51" s="100">
        <f>P51*R51</f>
        <v>18.402881407794055</v>
      </c>
      <c r="AY51" s="100">
        <f>R51*R51</f>
        <v>615.04000000000008</v>
      </c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</row>
    <row r="52" spans="1:96" s="13" customFormat="1" ht="14">
      <c r="A52" s="16" t="s">
        <v>50</v>
      </c>
      <c r="B52" s="14">
        <v>6</v>
      </c>
      <c r="C52" s="14">
        <v>5</v>
      </c>
      <c r="D52" s="22" t="s">
        <v>4</v>
      </c>
      <c r="E52" s="15">
        <f t="shared" si="31"/>
        <v>2.5</v>
      </c>
      <c r="F52" s="15">
        <v>30.9</v>
      </c>
      <c r="G52" s="25">
        <f t="shared" si="53"/>
        <v>1.3751799999999998</v>
      </c>
      <c r="H52" s="15">
        <f>(G52+I52)/2</f>
        <v>1.0625899999999999</v>
      </c>
      <c r="I52" s="15">
        <v>0.75</v>
      </c>
      <c r="J52" s="25">
        <f t="shared" si="32"/>
        <v>0.78</v>
      </c>
      <c r="K52" s="57">
        <f t="shared" si="33"/>
        <v>1.04</v>
      </c>
      <c r="L52" s="15">
        <v>0.04</v>
      </c>
      <c r="M52" s="15">
        <v>0.2</v>
      </c>
      <c r="N52" s="70">
        <f t="shared" si="34"/>
        <v>0.10119402985074627</v>
      </c>
      <c r="O52" s="53">
        <f t="shared" si="51"/>
        <v>247.01771992131384</v>
      </c>
      <c r="P52" s="25">
        <f t="shared" si="35"/>
        <v>1.0647009456802419E-2</v>
      </c>
      <c r="Q52" s="15">
        <f t="shared" si="36"/>
        <v>0.5</v>
      </c>
      <c r="R52" s="15"/>
      <c r="S52" s="15">
        <v>0.59799999999999998</v>
      </c>
      <c r="T52" s="70">
        <f>S52</f>
        <v>0.59799999999999998</v>
      </c>
      <c r="U52" s="15"/>
      <c r="V52" s="15">
        <v>0.52</v>
      </c>
      <c r="W52" s="25">
        <f>(V52+K52)/2</f>
        <v>0.78</v>
      </c>
      <c r="X52" s="15">
        <f>15/122</f>
        <v>0.12295081967213115</v>
      </c>
      <c r="Y52" s="15">
        <f t="shared" si="54"/>
        <v>0.12295081967213115</v>
      </c>
      <c r="Z52" s="25">
        <f t="shared" si="52"/>
        <v>2.1180066985178025</v>
      </c>
      <c r="AA52" s="15">
        <v>42</v>
      </c>
      <c r="AB52" s="15">
        <v>59</v>
      </c>
      <c r="AC52" s="15">
        <v>0.81799999999999995</v>
      </c>
      <c r="AD52" s="75"/>
      <c r="AE52" s="15">
        <v>2.2000000000000002</v>
      </c>
      <c r="AF52" s="131">
        <f t="shared" si="37"/>
        <v>8.5743107789695502E-3</v>
      </c>
      <c r="AG52" s="15">
        <v>1</v>
      </c>
      <c r="AH52" s="15">
        <v>58</v>
      </c>
      <c r="AI52" s="57">
        <f t="shared" si="38"/>
        <v>6.3669116551678465E-3</v>
      </c>
      <c r="AJ52" s="57">
        <f t="shared" si="39"/>
        <v>1.1335881037324015E-4</v>
      </c>
      <c r="AK52" s="57">
        <f t="shared" si="40"/>
        <v>0.35760399999999998</v>
      </c>
      <c r="AL52" s="53">
        <f t="shared" si="41"/>
        <v>2.3423420804965324E-2</v>
      </c>
      <c r="AM52" s="53">
        <f t="shared" si="42"/>
        <v>4.8400000000000007</v>
      </c>
      <c r="AN52" s="80">
        <f t="shared" si="43"/>
        <v>2.661752364200605E-2</v>
      </c>
      <c r="AO52" s="80">
        <f t="shared" si="44"/>
        <v>6.25</v>
      </c>
      <c r="AP52" s="145">
        <f t="shared" si="45"/>
        <v>2.2550437348689913E-2</v>
      </c>
      <c r="AQ52" s="145">
        <f t="shared" si="46"/>
        <v>4.4859523749662813</v>
      </c>
      <c r="AR52" s="100">
        <f t="shared" si="47"/>
        <v>8.7092537356643785E-3</v>
      </c>
      <c r="AS52" s="100">
        <f t="shared" si="48"/>
        <v>0.66912399999999994</v>
      </c>
      <c r="AT52" s="25">
        <f t="shared" si="49"/>
        <v>1.1313405778703682E-2</v>
      </c>
      <c r="AU52" s="25">
        <f t="shared" si="50"/>
        <v>1.1290975080999999</v>
      </c>
      <c r="AV52" s="53">
        <f t="shared" si="56"/>
        <v>0.44717439718570162</v>
      </c>
      <c r="AW52" s="53">
        <f t="shared" si="57"/>
        <v>1764</v>
      </c>
      <c r="AX52" s="100"/>
      <c r="AY52" s="100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</row>
    <row r="53" spans="1:96" s="13" customFormat="1" ht="14">
      <c r="A53" s="16" t="s">
        <v>51</v>
      </c>
      <c r="B53" s="14">
        <v>1</v>
      </c>
      <c r="C53" s="14">
        <v>1</v>
      </c>
      <c r="D53" s="22" t="s">
        <v>8</v>
      </c>
      <c r="E53" s="15">
        <f t="shared" si="31"/>
        <v>1</v>
      </c>
      <c r="F53" s="15"/>
      <c r="G53" s="25">
        <f t="shared" si="53"/>
        <v>-1</v>
      </c>
      <c r="H53" s="15">
        <v>0.75</v>
      </c>
      <c r="I53" s="15">
        <v>0.75</v>
      </c>
      <c r="J53" s="25">
        <f t="shared" si="32"/>
        <v>0.19000000000000006</v>
      </c>
      <c r="K53" s="57">
        <f t="shared" si="33"/>
        <v>0.25333333333333341</v>
      </c>
      <c r="L53" s="15">
        <v>0.03</v>
      </c>
      <c r="M53" s="15">
        <v>0.2</v>
      </c>
      <c r="N53" s="70">
        <f t="shared" si="34"/>
        <v>0.10089552238805971</v>
      </c>
      <c r="O53" s="53">
        <f t="shared" si="51"/>
        <v>3.0168971086122003</v>
      </c>
      <c r="P53" s="25">
        <f t="shared" si="35"/>
        <v>0.87175661128523652</v>
      </c>
      <c r="Q53" s="15">
        <f t="shared" si="36"/>
        <v>1</v>
      </c>
      <c r="R53" s="15"/>
      <c r="S53" s="109">
        <v>0.15</v>
      </c>
      <c r="T53" s="70">
        <f>S53</f>
        <v>0.15</v>
      </c>
      <c r="U53" s="15">
        <v>0.78</v>
      </c>
      <c r="V53" s="15">
        <v>0.91</v>
      </c>
      <c r="W53" s="15">
        <f>(V53+U53+J53)/3</f>
        <v>0.62666666666666659</v>
      </c>
      <c r="X53" s="15">
        <f>-9/110</f>
        <v>-8.1818181818181818E-2</v>
      </c>
      <c r="Y53" s="15">
        <f t="shared" si="54"/>
        <v>-8.1818181818181818E-2</v>
      </c>
      <c r="Z53" s="25">
        <f t="shared" si="52"/>
        <v>2.0034055046554986</v>
      </c>
      <c r="AA53" s="15">
        <v>29</v>
      </c>
      <c r="AB53" s="15">
        <v>23</v>
      </c>
      <c r="AC53" s="15">
        <v>7.0999999999999994E-2</v>
      </c>
      <c r="AD53" s="75"/>
      <c r="AE53" s="108">
        <v>8.1</v>
      </c>
      <c r="AF53" s="131">
        <f t="shared" si="37"/>
        <v>0.66406159458884662</v>
      </c>
      <c r="AG53" s="15"/>
      <c r="AH53" s="15">
        <v>38</v>
      </c>
      <c r="AI53" s="57">
        <f t="shared" si="38"/>
        <v>0.13076349169278548</v>
      </c>
      <c r="AJ53" s="57">
        <f t="shared" si="39"/>
        <v>0.7599595893195189</v>
      </c>
      <c r="AK53" s="57">
        <f t="shared" si="40"/>
        <v>2.2499999999999999E-2</v>
      </c>
      <c r="AL53" s="53">
        <f t="shared" si="41"/>
        <v>7.0612285514104158</v>
      </c>
      <c r="AM53" s="53">
        <f t="shared" si="42"/>
        <v>65.61</v>
      </c>
      <c r="AN53" s="80">
        <f t="shared" si="43"/>
        <v>0.87175661128523652</v>
      </c>
      <c r="AO53" s="80">
        <f t="shared" si="44"/>
        <v>1</v>
      </c>
      <c r="AP53" s="145">
        <f t="shared" si="45"/>
        <v>1.7464819937686666</v>
      </c>
      <c r="AQ53" s="145">
        <f t="shared" si="46"/>
        <v>4.0136336160839532</v>
      </c>
      <c r="AR53" s="100">
        <f t="shared" si="47"/>
        <v>6.189471940125179E-2</v>
      </c>
      <c r="AS53" s="100">
        <f t="shared" si="48"/>
        <v>5.0409999999999995E-3</v>
      </c>
      <c r="AT53" s="25">
        <f t="shared" si="49"/>
        <v>0.65381745846392736</v>
      </c>
      <c r="AU53" s="25">
        <f t="shared" si="50"/>
        <v>0.5625</v>
      </c>
      <c r="AV53" s="53">
        <f t="shared" si="56"/>
        <v>25.280941727271859</v>
      </c>
      <c r="AW53" s="53">
        <f t="shared" si="57"/>
        <v>841</v>
      </c>
      <c r="AX53" s="100"/>
      <c r="AY53" s="100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</row>
    <row r="54" spans="1:96" s="45" customFormat="1" ht="14">
      <c r="A54" s="42" t="s">
        <v>52</v>
      </c>
      <c r="B54" s="43">
        <v>2</v>
      </c>
      <c r="C54" s="43">
        <v>2</v>
      </c>
      <c r="D54" s="44" t="s">
        <v>8</v>
      </c>
      <c r="E54" s="45">
        <f t="shared" si="31"/>
        <v>1.3333333333333333</v>
      </c>
      <c r="F54" s="45">
        <v>37.799999999999997</v>
      </c>
      <c r="G54" s="25">
        <f t="shared" si="53"/>
        <v>1.9055599999999999</v>
      </c>
      <c r="H54" s="45">
        <f>(G54+I54)/2</f>
        <v>1.32778</v>
      </c>
      <c r="I54" s="45">
        <v>0.75</v>
      </c>
      <c r="J54" s="25">
        <f t="shared" si="32"/>
        <v>0.38</v>
      </c>
      <c r="K54" s="57">
        <f t="shared" si="33"/>
        <v>0.50666666666666671</v>
      </c>
      <c r="L54" s="45">
        <v>0.12</v>
      </c>
      <c r="M54" s="45">
        <v>0.2</v>
      </c>
      <c r="N54" s="70">
        <f t="shared" si="34"/>
        <v>0.10358208955223881</v>
      </c>
      <c r="O54" s="53">
        <f t="shared" si="51"/>
        <v>13.250540467829476</v>
      </c>
      <c r="P54" s="25">
        <f t="shared" si="35"/>
        <v>0.19848246993285179</v>
      </c>
      <c r="Q54" s="45">
        <f t="shared" si="36"/>
        <v>0.88888888888888895</v>
      </c>
      <c r="R54" s="45">
        <v>48.4</v>
      </c>
      <c r="S54" s="45">
        <v>0.33700000000000002</v>
      </c>
      <c r="T54" s="45">
        <f>(R54/100+S54)/2</f>
        <v>0.41049999999999998</v>
      </c>
      <c r="U54" s="45">
        <v>0.36399999999999999</v>
      </c>
      <c r="V54" s="45">
        <v>0.55000000000000004</v>
      </c>
      <c r="W54" s="45">
        <f>(V54+U54+J54)/3</f>
        <v>0.43133333333333335</v>
      </c>
      <c r="X54" s="45">
        <f>14/141</f>
        <v>9.9290780141843976E-2</v>
      </c>
      <c r="Y54" s="45">
        <f t="shared" si="54"/>
        <v>9.9290780141843976E-2</v>
      </c>
      <c r="Z54" s="25">
        <f t="shared" si="52"/>
        <v>2.3084002855001979</v>
      </c>
      <c r="AA54" s="45">
        <v>42.2</v>
      </c>
      <c r="AB54" s="45">
        <v>13.3</v>
      </c>
      <c r="AC54" s="45">
        <v>9.3800000000000008</v>
      </c>
      <c r="AD54" s="75"/>
      <c r="AE54" s="45">
        <v>6.2</v>
      </c>
      <c r="AF54" s="131">
        <f t="shared" si="37"/>
        <v>0.17421178336873747</v>
      </c>
      <c r="AG54" s="57"/>
      <c r="AH54" s="57">
        <v>38</v>
      </c>
      <c r="AI54" s="57">
        <f t="shared" si="38"/>
        <v>6.6888592367371061E-2</v>
      </c>
      <c r="AJ54" s="57">
        <f t="shared" si="39"/>
        <v>3.9395290870645416E-2</v>
      </c>
      <c r="AK54" s="57">
        <f t="shared" si="40"/>
        <v>0.11356900000000002</v>
      </c>
      <c r="AL54" s="53">
        <f t="shared" si="41"/>
        <v>1.2305913135836812</v>
      </c>
      <c r="AM54" s="53">
        <f t="shared" si="42"/>
        <v>38.440000000000005</v>
      </c>
      <c r="AN54" s="80">
        <f t="shared" si="43"/>
        <v>0.26464329324380237</v>
      </c>
      <c r="AO54" s="80">
        <f t="shared" si="44"/>
        <v>1.7777777777777777</v>
      </c>
      <c r="AP54" s="145">
        <f t="shared" si="45"/>
        <v>0.45817699025977954</v>
      </c>
      <c r="AQ54" s="145">
        <f t="shared" si="46"/>
        <v>5.328711878097395</v>
      </c>
      <c r="AR54" s="100">
        <f t="shared" si="47"/>
        <v>1.8617655679701499</v>
      </c>
      <c r="AS54" s="100">
        <f t="shared" si="48"/>
        <v>87.984400000000008</v>
      </c>
      <c r="AT54" s="25">
        <f t="shared" si="49"/>
        <v>0.26354105392744193</v>
      </c>
      <c r="AU54" s="25">
        <f t="shared" si="50"/>
        <v>1.7629997283999999</v>
      </c>
      <c r="AV54" s="53">
        <f t="shared" si="56"/>
        <v>8.3759602311663457</v>
      </c>
      <c r="AW54" s="53">
        <f t="shared" si="57"/>
        <v>1780.8400000000001</v>
      </c>
      <c r="AX54" s="100">
        <f>P54*R54</f>
        <v>9.606551544750026</v>
      </c>
      <c r="AY54" s="100">
        <f>R54*R54</f>
        <v>2342.56</v>
      </c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</row>
    <row r="55" spans="1:96" s="13" customFormat="1" ht="14">
      <c r="A55" s="16" t="s">
        <v>53</v>
      </c>
      <c r="B55" s="14">
        <v>3</v>
      </c>
      <c r="C55" s="14">
        <v>4</v>
      </c>
      <c r="D55" s="22" t="s">
        <v>3</v>
      </c>
      <c r="E55" s="15">
        <f t="shared" si="31"/>
        <v>1.8333333333333335</v>
      </c>
      <c r="F55" s="15"/>
      <c r="G55" s="25">
        <f t="shared" si="53"/>
        <v>-1</v>
      </c>
      <c r="H55" s="15">
        <v>0.75</v>
      </c>
      <c r="I55" s="15">
        <v>0.75</v>
      </c>
      <c r="J55" s="25">
        <f t="shared" si="32"/>
        <v>0.27800000000000002</v>
      </c>
      <c r="K55" s="57">
        <f t="shared" si="33"/>
        <v>0.3706666666666667</v>
      </c>
      <c r="L55" s="15">
        <v>0.03</v>
      </c>
      <c r="M55" s="15">
        <v>0.2</v>
      </c>
      <c r="N55" s="70">
        <f t="shared" si="34"/>
        <v>0.10089552238805971</v>
      </c>
      <c r="O55" s="53">
        <f t="shared" si="51"/>
        <v>9.3889238429118329</v>
      </c>
      <c r="P55" s="25">
        <f t="shared" si="35"/>
        <v>0.28011730034273502</v>
      </c>
      <c r="Q55" s="15">
        <f t="shared" si="36"/>
        <v>0.7222222222222221</v>
      </c>
      <c r="R55" s="15">
        <v>36.9</v>
      </c>
      <c r="S55" s="15">
        <v>0.498</v>
      </c>
      <c r="T55" s="15">
        <f>(R55/100+S55)/2</f>
        <v>0.4335</v>
      </c>
      <c r="U55" s="15"/>
      <c r="V55" s="15">
        <v>0.27</v>
      </c>
      <c r="W55" s="25">
        <f>(V55+K55)/2</f>
        <v>0.32033333333333336</v>
      </c>
      <c r="X55" s="15" t="s">
        <v>223</v>
      </c>
      <c r="Y55" s="15">
        <v>0.1</v>
      </c>
      <c r="Z55" s="25">
        <f t="shared" si="52"/>
        <v>1.852724776014431</v>
      </c>
      <c r="AA55" s="15">
        <v>41</v>
      </c>
      <c r="AB55" s="15">
        <v>18.399999999999999</v>
      </c>
      <c r="AC55" s="15">
        <v>1.2</v>
      </c>
      <c r="AD55" s="75"/>
      <c r="AE55" s="15">
        <v>7.22</v>
      </c>
      <c r="AF55" s="131">
        <f t="shared" si="37"/>
        <v>0.19733089830238057</v>
      </c>
      <c r="AG55" s="25"/>
      <c r="AH55" s="25">
        <v>45</v>
      </c>
      <c r="AI55" s="57">
        <f t="shared" si="38"/>
        <v>0.13949841557068204</v>
      </c>
      <c r="AJ55" s="57">
        <f t="shared" si="39"/>
        <v>7.8465701951302022E-2</v>
      </c>
      <c r="AK55" s="57">
        <f t="shared" si="40"/>
        <v>0.248004</v>
      </c>
      <c r="AL55" s="53">
        <f t="shared" si="41"/>
        <v>2.0224469084745467</v>
      </c>
      <c r="AM55" s="53">
        <f t="shared" si="42"/>
        <v>52.128399999999999</v>
      </c>
      <c r="AN55" s="80">
        <f t="shared" si="43"/>
        <v>0.5135483839616809</v>
      </c>
      <c r="AO55" s="80">
        <f t="shared" si="44"/>
        <v>3.3611111111111116</v>
      </c>
      <c r="AP55" s="145">
        <f t="shared" si="45"/>
        <v>0.51898026253526086</v>
      </c>
      <c r="AQ55" s="145">
        <f t="shared" si="46"/>
        <v>3.4325890956577236</v>
      </c>
      <c r="AR55" s="100">
        <f t="shared" si="47"/>
        <v>0.33614076041128199</v>
      </c>
      <c r="AS55" s="100">
        <f t="shared" si="48"/>
        <v>1.44</v>
      </c>
      <c r="AT55" s="25">
        <f t="shared" si="49"/>
        <v>0.21008797525705125</v>
      </c>
      <c r="AU55" s="25">
        <f t="shared" si="50"/>
        <v>0.5625</v>
      </c>
      <c r="AV55" s="53">
        <f t="shared" si="56"/>
        <v>11.484809314052136</v>
      </c>
      <c r="AW55" s="53">
        <f t="shared" si="57"/>
        <v>1681</v>
      </c>
      <c r="AX55" s="100">
        <f>P55*R55</f>
        <v>10.336328382646922</v>
      </c>
      <c r="AY55" s="100">
        <f>R55*R55</f>
        <v>1361.61</v>
      </c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</row>
    <row r="56" spans="1:96" s="25" customFormat="1" ht="14">
      <c r="A56" s="116" t="s">
        <v>54</v>
      </c>
      <c r="B56" s="117">
        <v>3</v>
      </c>
      <c r="C56" s="117">
        <v>3</v>
      </c>
      <c r="D56" s="118" t="s">
        <v>3</v>
      </c>
      <c r="E56" s="107">
        <f t="shared" si="31"/>
        <v>1.6666666666666665</v>
      </c>
      <c r="F56" s="107">
        <v>35.299999999999997</v>
      </c>
      <c r="G56" s="107">
        <f t="shared" si="53"/>
        <v>1.7133933333333333</v>
      </c>
      <c r="H56" s="107">
        <f>(G56+I56)/2</f>
        <v>1.2316966666666667</v>
      </c>
      <c r="I56" s="107">
        <v>0.75</v>
      </c>
      <c r="J56" s="107">
        <f t="shared" si="32"/>
        <v>0.42300000000000004</v>
      </c>
      <c r="K56" s="107">
        <f t="shared" si="33"/>
        <v>0.56400000000000006</v>
      </c>
      <c r="L56" s="107">
        <v>0.17</v>
      </c>
      <c r="M56" s="107">
        <v>0.2</v>
      </c>
      <c r="N56" s="107">
        <f t="shared" si="34"/>
        <v>0.10507462686567165</v>
      </c>
      <c r="O56" s="107">
        <f t="shared" si="51"/>
        <v>23.758780226003616</v>
      </c>
      <c r="P56" s="107">
        <f t="shared" si="35"/>
        <v>0.11069591851864119</v>
      </c>
      <c r="Q56" s="107">
        <f t="shared" si="36"/>
        <v>0.77777777777777779</v>
      </c>
      <c r="R56" s="107">
        <v>46.9</v>
      </c>
      <c r="S56" s="107">
        <f>1-0.695</f>
        <v>0.30500000000000005</v>
      </c>
      <c r="T56" s="107">
        <f>(R56/100+S56)/2</f>
        <v>0.38700000000000001</v>
      </c>
      <c r="U56" s="107">
        <v>0.255</v>
      </c>
      <c r="V56" s="107">
        <f>1-0.58</f>
        <v>0.42000000000000004</v>
      </c>
      <c r="W56" s="107">
        <f>(V56+U56+J56)/3</f>
        <v>0.36600000000000005</v>
      </c>
      <c r="X56" s="107">
        <f>6/120</f>
        <v>0.05</v>
      </c>
      <c r="Y56" s="107">
        <f>X56</f>
        <v>0.05</v>
      </c>
      <c r="Z56" s="107">
        <f t="shared" si="52"/>
        <v>1.8674158103863723</v>
      </c>
      <c r="AA56" s="107">
        <v>33</v>
      </c>
      <c r="AB56" s="107">
        <v>7.5</v>
      </c>
      <c r="AC56" s="107">
        <v>15</v>
      </c>
      <c r="AD56" s="107"/>
      <c r="AE56" s="107">
        <v>5.77</v>
      </c>
      <c r="AF56" s="131">
        <f t="shared" si="37"/>
        <v>7.8598976572985618E-2</v>
      </c>
      <c r="AG56" s="107">
        <v>1</v>
      </c>
      <c r="AH56" s="107">
        <v>39</v>
      </c>
      <c r="AI56" s="57">
        <f t="shared" si="38"/>
        <v>3.3762255148185566E-2</v>
      </c>
      <c r="AJ56" s="57">
        <f t="shared" si="39"/>
        <v>1.225358637668565E-2</v>
      </c>
      <c r="AK56" s="57">
        <f t="shared" si="40"/>
        <v>9.3025000000000024E-2</v>
      </c>
      <c r="AL56" s="53">
        <f t="shared" si="41"/>
        <v>0.63871544985255957</v>
      </c>
      <c r="AM56" s="53">
        <f t="shared" si="42"/>
        <v>33.292899999999996</v>
      </c>
      <c r="AN56" s="80">
        <f t="shared" si="43"/>
        <v>0.18449319753106863</v>
      </c>
      <c r="AO56" s="80">
        <f t="shared" si="44"/>
        <v>2.7777777777777772</v>
      </c>
      <c r="AP56" s="145">
        <f t="shared" si="45"/>
        <v>0.20671530838695218</v>
      </c>
      <c r="AQ56" s="145">
        <f t="shared" si="46"/>
        <v>3.4872418088809916</v>
      </c>
      <c r="AR56" s="100">
        <f t="shared" si="47"/>
        <v>1.6604387777796179</v>
      </c>
      <c r="AS56" s="100">
        <f t="shared" si="48"/>
        <v>225</v>
      </c>
      <c r="AT56" s="25">
        <f t="shared" si="49"/>
        <v>0.13634379385301529</v>
      </c>
      <c r="AU56" s="25">
        <f t="shared" si="50"/>
        <v>1.5170766786777778</v>
      </c>
      <c r="AV56" s="53">
        <f t="shared" si="56"/>
        <v>3.6529653111151594</v>
      </c>
      <c r="AW56" s="53">
        <f t="shared" si="57"/>
        <v>1089</v>
      </c>
      <c r="AX56" s="100">
        <f>P56*R56</f>
        <v>5.1916385785242714</v>
      </c>
      <c r="AY56" s="100">
        <f>R56*R56</f>
        <v>2199.6099999999997</v>
      </c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</row>
    <row r="57" spans="1:96" s="99" customFormat="1" ht="14">
      <c r="A57" s="96" t="s">
        <v>55</v>
      </c>
      <c r="B57" s="97">
        <v>3</v>
      </c>
      <c r="C57" s="97">
        <v>3</v>
      </c>
      <c r="D57" s="98" t="s">
        <v>3</v>
      </c>
      <c r="E57" s="99">
        <f t="shared" si="31"/>
        <v>1.6666666666666665</v>
      </c>
      <c r="F57" s="99">
        <v>27.6</v>
      </c>
      <c r="G57" s="99">
        <f t="shared" si="53"/>
        <v>1.1215199999999999</v>
      </c>
      <c r="H57" s="99">
        <f>(G57+I57)/2</f>
        <v>1.0607599999999999</v>
      </c>
      <c r="I57" s="99">
        <v>1</v>
      </c>
      <c r="J57" s="99">
        <f t="shared" si="32"/>
        <v>0.40100000000000002</v>
      </c>
      <c r="K57" s="57">
        <f t="shared" si="33"/>
        <v>0.53466666666666673</v>
      </c>
      <c r="L57" s="99">
        <v>0.4</v>
      </c>
      <c r="M57" s="99">
        <v>0.6</v>
      </c>
      <c r="N57" s="70">
        <f t="shared" si="34"/>
        <v>0.31194029850746269</v>
      </c>
      <c r="O57" s="99">
        <f t="shared" si="51"/>
        <v>24.021396210404351</v>
      </c>
      <c r="P57" s="99">
        <f t="shared" si="35"/>
        <v>0.10948572584889432</v>
      </c>
      <c r="Q57" s="99">
        <f t="shared" si="36"/>
        <v>0.77777777777777779</v>
      </c>
      <c r="R57" s="99">
        <v>34.4</v>
      </c>
      <c r="S57" s="99">
        <v>0.38</v>
      </c>
      <c r="T57" s="99">
        <f>(R57/100+S57)/2</f>
        <v>0.36199999999999999</v>
      </c>
      <c r="U57" s="99">
        <v>0.85699999999999998</v>
      </c>
      <c r="V57" s="99">
        <v>0.88</v>
      </c>
      <c r="W57" s="99">
        <f>(V57+U57+J57)/3</f>
        <v>0.71266666666666667</v>
      </c>
      <c r="X57" s="99">
        <v>-0.13800000000000001</v>
      </c>
      <c r="Y57" s="99">
        <f>X57</f>
        <v>-0.13800000000000001</v>
      </c>
      <c r="Z57" s="99">
        <f t="shared" si="52"/>
        <v>2.0720086902375203</v>
      </c>
      <c r="AA57" s="99">
        <v>20</v>
      </c>
      <c r="AB57" s="99">
        <v>12.3</v>
      </c>
      <c r="AC57" s="99">
        <v>81.8</v>
      </c>
      <c r="AE57" s="99">
        <v>5.99</v>
      </c>
      <c r="AF57" s="131">
        <f t="shared" si="37"/>
        <v>8.6256796736072922E-2</v>
      </c>
      <c r="AG57" s="15">
        <v>1</v>
      </c>
      <c r="AH57" s="15">
        <v>53</v>
      </c>
      <c r="AI57" s="57">
        <f t="shared" si="38"/>
        <v>4.1604575822579842E-2</v>
      </c>
      <c r="AJ57" s="57">
        <f t="shared" si="39"/>
        <v>1.1987124164659246E-2</v>
      </c>
      <c r="AK57" s="57">
        <f t="shared" si="40"/>
        <v>0.1444</v>
      </c>
      <c r="AL57" s="53">
        <f t="shared" si="41"/>
        <v>0.65581949783487703</v>
      </c>
      <c r="AM57" s="53">
        <f t="shared" si="42"/>
        <v>35.880100000000006</v>
      </c>
      <c r="AN57" s="80">
        <f t="shared" si="43"/>
        <v>0.18247620974815718</v>
      </c>
      <c r="AO57" s="80">
        <f t="shared" si="44"/>
        <v>2.7777777777777772</v>
      </c>
      <c r="AP57" s="145">
        <f t="shared" si="45"/>
        <v>0.22685537541587175</v>
      </c>
      <c r="AQ57" s="145">
        <f t="shared" si="46"/>
        <v>4.2932200124198046</v>
      </c>
      <c r="AR57" s="100">
        <f t="shared" si="47"/>
        <v>8.9559323744395556</v>
      </c>
      <c r="AS57" s="100">
        <f t="shared" si="48"/>
        <v>6691.24</v>
      </c>
      <c r="AT57" s="25">
        <f t="shared" si="49"/>
        <v>0.11613807855147314</v>
      </c>
      <c r="AU57" s="25">
        <f t="shared" si="50"/>
        <v>1.1252117775999999</v>
      </c>
      <c r="AV57" s="53">
        <f t="shared" si="56"/>
        <v>2.1897145169778867</v>
      </c>
      <c r="AW57" s="53">
        <f t="shared" si="57"/>
        <v>400</v>
      </c>
      <c r="AX57" s="100">
        <f>P57*R57</f>
        <v>3.7663089692019645</v>
      </c>
      <c r="AY57" s="100">
        <f>R57*R57</f>
        <v>1183.3599999999999</v>
      </c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</row>
    <row r="58" spans="1:96" s="13" customFormat="1" ht="14">
      <c r="A58" s="16" t="s">
        <v>56</v>
      </c>
      <c r="B58" s="14">
        <v>2</v>
      </c>
      <c r="C58" s="14">
        <v>3</v>
      </c>
      <c r="D58" s="22" t="s">
        <v>8</v>
      </c>
      <c r="E58" s="15">
        <f t="shared" si="31"/>
        <v>1.5</v>
      </c>
      <c r="F58" s="15">
        <v>36.299999999999997</v>
      </c>
      <c r="G58" s="25">
        <f t="shared" si="53"/>
        <v>1.7902599999999995</v>
      </c>
      <c r="H58" s="15">
        <f>(G58+I58)/2</f>
        <v>1.2701299999999998</v>
      </c>
      <c r="I58" s="15">
        <v>0.75</v>
      </c>
      <c r="J58" s="25">
        <f t="shared" si="32"/>
        <v>0.35299999999999998</v>
      </c>
      <c r="K58" s="57">
        <f t="shared" si="33"/>
        <v>0.47066666666666662</v>
      </c>
      <c r="L58" s="15">
        <v>0.1</v>
      </c>
      <c r="M58" s="15">
        <v>0.2</v>
      </c>
      <c r="N58" s="70">
        <f t="shared" si="34"/>
        <v>0.10298507462686568</v>
      </c>
      <c r="O58" s="53">
        <f t="shared" si="51"/>
        <v>15.889724015210431</v>
      </c>
      <c r="P58" s="25">
        <f t="shared" si="35"/>
        <v>0.16551577594943961</v>
      </c>
      <c r="Q58" s="15">
        <f t="shared" si="36"/>
        <v>0.83333333333333337</v>
      </c>
      <c r="R58" s="15">
        <v>46.9</v>
      </c>
      <c r="S58" s="15">
        <v>0.34100000000000003</v>
      </c>
      <c r="T58" s="15">
        <f>(R58/100+S58)/2</f>
        <v>0.40500000000000003</v>
      </c>
      <c r="U58" s="15">
        <v>0.57099999999999995</v>
      </c>
      <c r="V58" s="15">
        <v>0.8</v>
      </c>
      <c r="W58" s="15">
        <f>(V58+U58+J58)/3</f>
        <v>0.57466666666666666</v>
      </c>
      <c r="X58" s="15">
        <f>14/109</f>
        <v>0.12844036697247707</v>
      </c>
      <c r="Y58" s="15">
        <f>X58</f>
        <v>0.12844036697247707</v>
      </c>
      <c r="Z58" s="25">
        <f t="shared" si="52"/>
        <v>2.5178932199537076</v>
      </c>
      <c r="AA58" s="15">
        <v>36.5</v>
      </c>
      <c r="AB58" s="15">
        <v>7</v>
      </c>
      <c r="AC58" s="15">
        <v>6.1829999999999998</v>
      </c>
      <c r="AD58" s="75"/>
      <c r="AE58" s="15">
        <v>6.47</v>
      </c>
      <c r="AF58" s="131">
        <f t="shared" si="37"/>
        <v>0.15846047530740343</v>
      </c>
      <c r="AG58" s="33">
        <v>1</v>
      </c>
      <c r="AH58" s="33">
        <v>39</v>
      </c>
      <c r="AI58" s="57">
        <f t="shared" si="38"/>
        <v>5.644087959875891E-2</v>
      </c>
      <c r="AJ58" s="57">
        <f t="shared" si="39"/>
        <v>2.7395472088145092E-2</v>
      </c>
      <c r="AK58" s="57">
        <f t="shared" si="40"/>
        <v>0.11628100000000002</v>
      </c>
      <c r="AL58" s="53">
        <f t="shared" si="41"/>
        <v>1.0708870703928743</v>
      </c>
      <c r="AM58" s="53">
        <f t="shared" si="42"/>
        <v>41.860899999999994</v>
      </c>
      <c r="AN58" s="80">
        <f t="shared" si="43"/>
        <v>0.24827366392415942</v>
      </c>
      <c r="AO58" s="80">
        <f t="shared" si="44"/>
        <v>2.25</v>
      </c>
      <c r="AP58" s="145">
        <f t="shared" si="45"/>
        <v>0.41675105005847096</v>
      </c>
      <c r="AQ58" s="145">
        <f t="shared" si="46"/>
        <v>6.3397862670888498</v>
      </c>
      <c r="AR58" s="100">
        <f t="shared" si="47"/>
        <v>1.0233840426953851</v>
      </c>
      <c r="AS58" s="100">
        <f t="shared" si="48"/>
        <v>38.229489000000001</v>
      </c>
      <c r="AT58" s="25">
        <f t="shared" si="49"/>
        <v>0.2102265525066617</v>
      </c>
      <c r="AU58" s="25">
        <f t="shared" si="50"/>
        <v>1.6132302168999995</v>
      </c>
      <c r="AV58" s="53">
        <f t="shared" si="56"/>
        <v>6.0413258221545458</v>
      </c>
      <c r="AW58" s="53">
        <f t="shared" si="57"/>
        <v>1332.25</v>
      </c>
      <c r="AX58" s="100">
        <f>P58*R58</f>
        <v>7.7626898920287175</v>
      </c>
      <c r="AY58" s="100">
        <f>R58*R58</f>
        <v>2199.6099999999997</v>
      </c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</row>
    <row r="59" spans="1:96" s="105" customFormat="1" ht="14">
      <c r="A59" s="16" t="s">
        <v>57</v>
      </c>
      <c r="B59" s="14">
        <v>7</v>
      </c>
      <c r="C59" s="14">
        <v>7</v>
      </c>
      <c r="D59" s="22" t="s">
        <v>4</v>
      </c>
      <c r="E59" s="15">
        <f t="shared" si="31"/>
        <v>3</v>
      </c>
      <c r="F59" s="15"/>
      <c r="G59" s="25">
        <f t="shared" si="53"/>
        <v>-1</v>
      </c>
      <c r="H59" s="15">
        <v>0.75</v>
      </c>
      <c r="I59" s="15">
        <v>0.75</v>
      </c>
      <c r="J59" s="25">
        <f t="shared" si="32"/>
        <v>0.81600000000000006</v>
      </c>
      <c r="K59" s="57">
        <f t="shared" si="33"/>
        <v>1.0880000000000001</v>
      </c>
      <c r="L59" s="15">
        <v>0.05</v>
      </c>
      <c r="M59" s="15">
        <v>0.2</v>
      </c>
      <c r="N59" s="70">
        <f t="shared" si="34"/>
        <v>0.10149253731343284</v>
      </c>
      <c r="O59" s="53">
        <f t="shared" si="51"/>
        <v>336.45944169532152</v>
      </c>
      <c r="P59" s="25">
        <f t="shared" si="35"/>
        <v>7.8166925164833926E-3</v>
      </c>
      <c r="Q59" s="15">
        <f t="shared" si="36"/>
        <v>0.33333333333333337</v>
      </c>
      <c r="R59" s="15"/>
      <c r="S59" s="109">
        <v>0.9</v>
      </c>
      <c r="T59" s="70">
        <f>S59</f>
        <v>0.9</v>
      </c>
      <c r="U59" s="15">
        <v>5.5E-2</v>
      </c>
      <c r="V59" s="15">
        <v>0.28999999999999998</v>
      </c>
      <c r="W59" s="15">
        <f>(V59+U59+J59)/3</f>
        <v>0.38700000000000001</v>
      </c>
      <c r="X59" s="15" t="s">
        <v>225</v>
      </c>
      <c r="Y59" s="15">
        <v>0.1</v>
      </c>
      <c r="Z59" s="25">
        <f t="shared" si="52"/>
        <v>1.5877744731834311</v>
      </c>
      <c r="AA59" s="15" t="s">
        <v>223</v>
      </c>
      <c r="AB59" s="15">
        <v>22.3</v>
      </c>
      <c r="AC59" s="15">
        <v>0.72</v>
      </c>
      <c r="AD59" s="75"/>
      <c r="AE59" s="15">
        <v>1.84</v>
      </c>
      <c r="AF59" s="131">
        <f t="shared" si="37"/>
        <v>4.7190664799985878E-3</v>
      </c>
      <c r="AG59" s="15">
        <v>1</v>
      </c>
      <c r="AH59" s="15">
        <v>58</v>
      </c>
      <c r="AI59" s="57">
        <f t="shared" si="38"/>
        <v>7.0350232648350537E-3</v>
      </c>
      <c r="AJ59" s="57">
        <f t="shared" si="39"/>
        <v>6.110068189724747E-5</v>
      </c>
      <c r="AK59" s="57">
        <f t="shared" si="40"/>
        <v>0.81</v>
      </c>
      <c r="AL59" s="53">
        <f t="shared" si="41"/>
        <v>1.4382714230329443E-2</v>
      </c>
      <c r="AM59" s="53">
        <f t="shared" si="42"/>
        <v>3.3856000000000002</v>
      </c>
      <c r="AN59" s="80">
        <f t="shared" si="43"/>
        <v>2.345007754945018E-2</v>
      </c>
      <c r="AO59" s="80">
        <f t="shared" si="44"/>
        <v>9</v>
      </c>
      <c r="AP59" s="145">
        <f t="shared" si="45"/>
        <v>1.2411144842396287E-2</v>
      </c>
      <c r="AQ59" s="145">
        <f t="shared" si="46"/>
        <v>2.5210277776929222</v>
      </c>
      <c r="AR59" s="100">
        <f t="shared" si="47"/>
        <v>5.6280186118680426E-3</v>
      </c>
      <c r="AS59" s="100">
        <f t="shared" si="48"/>
        <v>0.51839999999999997</v>
      </c>
      <c r="AT59" s="25">
        <f t="shared" si="49"/>
        <v>5.8625193873625449E-3</v>
      </c>
      <c r="AU59" s="25">
        <f t="shared" si="50"/>
        <v>0.5625</v>
      </c>
      <c r="AV59" s="53"/>
      <c r="AW59" s="53"/>
      <c r="AX59" s="100"/>
      <c r="AY59" s="100"/>
    </row>
    <row r="60" spans="1:96" s="13" customFormat="1" ht="14">
      <c r="A60" s="16" t="s">
        <v>58</v>
      </c>
      <c r="B60" s="14">
        <v>7</v>
      </c>
      <c r="C60" s="14">
        <v>7</v>
      </c>
      <c r="D60" s="22" t="s">
        <v>4</v>
      </c>
      <c r="E60" s="15">
        <f t="shared" si="31"/>
        <v>3</v>
      </c>
      <c r="F60" s="15"/>
      <c r="G60" s="25">
        <f t="shared" si="53"/>
        <v>-1</v>
      </c>
      <c r="H60" s="15">
        <v>0.75</v>
      </c>
      <c r="I60" s="15">
        <v>0.75</v>
      </c>
      <c r="J60" s="25">
        <f t="shared" si="32"/>
        <v>0.76900000000000002</v>
      </c>
      <c r="K60" s="57">
        <f t="shared" si="33"/>
        <v>1.0253333333333334</v>
      </c>
      <c r="L60" s="15">
        <v>0.04</v>
      </c>
      <c r="M60" s="15">
        <v>0.2</v>
      </c>
      <c r="N60" s="70">
        <f t="shared" si="34"/>
        <v>0.10119402985074627</v>
      </c>
      <c r="O60" s="53">
        <f t="shared" si="51"/>
        <v>278.54568615334654</v>
      </c>
      <c r="P60" s="25">
        <f t="shared" si="35"/>
        <v>9.4418981543735615E-3</v>
      </c>
      <c r="Q60" s="15">
        <f t="shared" si="36"/>
        <v>0.33333333333333337</v>
      </c>
      <c r="R60" s="15"/>
      <c r="S60" s="109">
        <v>0.9</v>
      </c>
      <c r="T60" s="70">
        <f>S60</f>
        <v>0.9</v>
      </c>
      <c r="U60" s="15"/>
      <c r="V60" s="15">
        <v>0.18</v>
      </c>
      <c r="W60" s="25">
        <f>(V60+K60)/2</f>
        <v>0.60266666666666668</v>
      </c>
      <c r="X60" s="15">
        <f>1/96</f>
        <v>1.0416666666666666E-2</v>
      </c>
      <c r="Y60" s="15">
        <f>X60</f>
        <v>1.0416666666666666E-2</v>
      </c>
      <c r="Z60" s="25">
        <f t="shared" si="52"/>
        <v>1.6559272289241282</v>
      </c>
      <c r="AA60" s="15">
        <v>50</v>
      </c>
      <c r="AB60" s="15"/>
      <c r="AC60" s="15">
        <v>5.415</v>
      </c>
      <c r="AD60" s="75"/>
      <c r="AE60" s="15">
        <v>2.31</v>
      </c>
      <c r="AF60" s="131">
        <f t="shared" si="37"/>
        <v>5.9449035158006284E-3</v>
      </c>
      <c r="AG60" s="15">
        <v>1</v>
      </c>
      <c r="AH60" s="15">
        <v>58</v>
      </c>
      <c r="AI60" s="57">
        <f t="shared" si="38"/>
        <v>8.4977083389362051E-3</v>
      </c>
      <c r="AJ60" s="57">
        <f t="shared" si="39"/>
        <v>8.9149440757562863E-5</v>
      </c>
      <c r="AK60" s="57">
        <f t="shared" si="40"/>
        <v>0.81</v>
      </c>
      <c r="AL60" s="53">
        <f t="shared" si="41"/>
        <v>2.1810784736602928E-2</v>
      </c>
      <c r="AM60" s="53">
        <f t="shared" si="42"/>
        <v>5.3361000000000001</v>
      </c>
      <c r="AN60" s="80">
        <f t="shared" si="43"/>
        <v>2.8325694463120686E-2</v>
      </c>
      <c r="AO60" s="80">
        <f t="shared" si="44"/>
        <v>9</v>
      </c>
      <c r="AP60" s="145">
        <f t="shared" si="45"/>
        <v>1.5635096246555652E-2</v>
      </c>
      <c r="AQ60" s="145">
        <f t="shared" si="46"/>
        <v>2.7420949874923424</v>
      </c>
      <c r="AR60" s="100">
        <f t="shared" si="47"/>
        <v>5.1127878505932839E-2</v>
      </c>
      <c r="AS60" s="100">
        <f t="shared" si="48"/>
        <v>29.322225</v>
      </c>
      <c r="AT60" s="25">
        <f t="shared" si="49"/>
        <v>7.0814236157801715E-3</v>
      </c>
      <c r="AU60" s="25">
        <f t="shared" si="50"/>
        <v>0.5625</v>
      </c>
      <c r="AV60" s="53">
        <f>AA60*P60</f>
        <v>0.47209490771867807</v>
      </c>
      <c r="AW60" s="53">
        <f>AA60^2</f>
        <v>2500</v>
      </c>
      <c r="AX60" s="100"/>
      <c r="AY60" s="100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</row>
    <row r="61" spans="1:96" s="70" customFormat="1" ht="14">
      <c r="A61" s="67" t="s">
        <v>59</v>
      </c>
      <c r="B61" s="68">
        <v>1</v>
      </c>
      <c r="C61" s="68">
        <v>1</v>
      </c>
      <c r="D61" s="69" t="s">
        <v>8</v>
      </c>
      <c r="E61" s="70">
        <f t="shared" si="31"/>
        <v>1</v>
      </c>
      <c r="F61" s="70">
        <v>27.7</v>
      </c>
      <c r="G61" s="25">
        <f t="shared" si="53"/>
        <v>1.1292066666666667</v>
      </c>
      <c r="H61" s="70">
        <f>(G61+I61)/2</f>
        <v>0.93960333333333335</v>
      </c>
      <c r="I61" s="70">
        <v>0.75</v>
      </c>
      <c r="J61" s="25">
        <f t="shared" si="32"/>
        <v>0.23199999999999998</v>
      </c>
      <c r="K61" s="57">
        <f t="shared" si="33"/>
        <v>0.30933333333333329</v>
      </c>
      <c r="L61" s="70">
        <v>7.0000000000000007E-2</v>
      </c>
      <c r="M61" s="70">
        <v>0.2</v>
      </c>
      <c r="N61" s="70">
        <f t="shared" si="34"/>
        <v>0.10208955223880598</v>
      </c>
      <c r="O61" s="53">
        <f t="shared" si="51"/>
        <v>3.8613861255741142</v>
      </c>
      <c r="P61" s="25">
        <f t="shared" si="35"/>
        <v>0.68110256640262035</v>
      </c>
      <c r="Q61" s="70">
        <f t="shared" si="36"/>
        <v>1</v>
      </c>
      <c r="R61" s="70">
        <v>31.3</v>
      </c>
      <c r="S61" s="70">
        <f>1-0.812</f>
        <v>0.18799999999999994</v>
      </c>
      <c r="T61" s="70">
        <f>(R61/100+S61)/2</f>
        <v>0.25049999999999994</v>
      </c>
      <c r="U61" s="70">
        <v>5.8000000000000003E-2</v>
      </c>
      <c r="V61" s="70">
        <v>0.21</v>
      </c>
      <c r="W61" s="70">
        <f>(V61+U61+J61)/3</f>
        <v>0.16666666666666666</v>
      </c>
      <c r="X61" s="70">
        <f>-15/98</f>
        <v>-0.15306122448979592</v>
      </c>
      <c r="Y61" s="70">
        <f>X61</f>
        <v>-0.15306122448979592</v>
      </c>
      <c r="Z61" s="25">
        <f t="shared" si="52"/>
        <v>1.3022655027712962</v>
      </c>
      <c r="AA61" s="70">
        <v>17.5</v>
      </c>
      <c r="AB61" s="70">
        <v>12.1</v>
      </c>
      <c r="AC61" s="70">
        <v>1.3160000000000001</v>
      </c>
      <c r="AD61" s="75"/>
      <c r="AE61" s="70">
        <v>7.68</v>
      </c>
      <c r="AF61" s="131">
        <f t="shared" si="37"/>
        <v>0.33725337493350893</v>
      </c>
      <c r="AG61" s="39">
        <v>1</v>
      </c>
      <c r="AH61" s="39">
        <v>27</v>
      </c>
      <c r="AI61" s="57">
        <f t="shared" si="38"/>
        <v>0.1280472824836926</v>
      </c>
      <c r="AJ61" s="57">
        <f t="shared" si="39"/>
        <v>0.46390070596023586</v>
      </c>
      <c r="AK61" s="57">
        <f t="shared" si="40"/>
        <v>3.534399999999998E-2</v>
      </c>
      <c r="AL61" s="53">
        <f t="shared" si="41"/>
        <v>5.2308677099721237</v>
      </c>
      <c r="AM61" s="53">
        <f t="shared" si="42"/>
        <v>58.982399999999998</v>
      </c>
      <c r="AN61" s="80">
        <f t="shared" si="43"/>
        <v>0.68110256640262035</v>
      </c>
      <c r="AO61" s="80">
        <f t="shared" si="44"/>
        <v>1</v>
      </c>
      <c r="AP61" s="145">
        <f t="shared" si="45"/>
        <v>0.88697637607512847</v>
      </c>
      <c r="AQ61" s="145">
        <f t="shared" si="46"/>
        <v>1.6958954397081767</v>
      </c>
      <c r="AR61" s="100">
        <f t="shared" si="47"/>
        <v>0.89633097738584844</v>
      </c>
      <c r="AS61" s="100">
        <f t="shared" si="48"/>
        <v>1.7318560000000001</v>
      </c>
      <c r="AT61" s="25">
        <f t="shared" si="49"/>
        <v>0.63996624173379013</v>
      </c>
      <c r="AU61" s="25">
        <f t="shared" si="50"/>
        <v>0.88285442401111114</v>
      </c>
      <c r="AV61" s="53">
        <f>AA61*P61</f>
        <v>11.919294912045856</v>
      </c>
      <c r="AW61" s="53">
        <f>AA61^2</f>
        <v>306.25</v>
      </c>
      <c r="AX61" s="100">
        <f>P61*R61</f>
        <v>21.318510328402017</v>
      </c>
      <c r="AY61" s="100">
        <f>R61*R61</f>
        <v>979.69</v>
      </c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</row>
    <row r="62" spans="1:96" s="79" customFormat="1" ht="14">
      <c r="A62" s="76" t="s">
        <v>60</v>
      </c>
      <c r="B62" s="77">
        <v>6</v>
      </c>
      <c r="C62" s="77">
        <v>6</v>
      </c>
      <c r="D62" s="78" t="s">
        <v>4</v>
      </c>
      <c r="E62" s="79">
        <f t="shared" si="31"/>
        <v>2.666666666666667</v>
      </c>
      <c r="F62" s="79">
        <v>25.8</v>
      </c>
      <c r="G62" s="25">
        <f t="shared" si="53"/>
        <v>0.98316000000000026</v>
      </c>
      <c r="H62" s="79">
        <f>(G62+I62)/2</f>
        <v>0.86658000000000013</v>
      </c>
      <c r="I62" s="79">
        <v>0.75</v>
      </c>
      <c r="J62" s="25">
        <f t="shared" si="32"/>
        <v>0.63200000000000001</v>
      </c>
      <c r="K62" s="57">
        <f t="shared" si="33"/>
        <v>0.84266666666666667</v>
      </c>
      <c r="L62" s="79">
        <v>0.08</v>
      </c>
      <c r="M62" s="79">
        <v>0.2</v>
      </c>
      <c r="N62" s="70">
        <f t="shared" si="34"/>
        <v>0.10238805970149255</v>
      </c>
      <c r="O62" s="53">
        <f t="shared" si="51"/>
        <v>125.3394851275542</v>
      </c>
      <c r="P62" s="25">
        <f t="shared" si="35"/>
        <v>2.0983012634235163E-2</v>
      </c>
      <c r="Q62" s="79">
        <f t="shared" si="36"/>
        <v>0.44444444444444431</v>
      </c>
      <c r="R62" s="79">
        <v>30</v>
      </c>
      <c r="S62" s="79">
        <v>0.67200000000000004</v>
      </c>
      <c r="T62" s="79">
        <f>(R62/100+S62)/2</f>
        <v>0.48599999999999999</v>
      </c>
      <c r="U62" s="79">
        <v>0.42299999999999999</v>
      </c>
      <c r="V62" s="79">
        <v>0.25</v>
      </c>
      <c r="W62" s="79">
        <f>(V62+U62+J62)/3</f>
        <v>0.43500000000000005</v>
      </c>
      <c r="X62" s="79">
        <f>105/164</f>
        <v>0.6402439024390244</v>
      </c>
      <c r="Y62" s="79">
        <f>X62</f>
        <v>0.6402439024390244</v>
      </c>
      <c r="Z62" s="25">
        <f t="shared" si="52"/>
        <v>2.0014785428567281</v>
      </c>
      <c r="AA62" s="79">
        <v>29.2</v>
      </c>
      <c r="AC62" s="79">
        <v>84</v>
      </c>
      <c r="AD62" s="75"/>
      <c r="AE62" s="79">
        <v>3.68</v>
      </c>
      <c r="AF62" s="131">
        <f t="shared" si="37"/>
        <v>1.596845990567046E-2</v>
      </c>
      <c r="AG62" s="15">
        <v>1</v>
      </c>
      <c r="AH62" s="15">
        <v>54</v>
      </c>
      <c r="AI62" s="57">
        <f t="shared" si="38"/>
        <v>1.4100584490206031E-2</v>
      </c>
      <c r="AJ62" s="57">
        <f t="shared" si="39"/>
        <v>4.4028681920847251E-4</v>
      </c>
      <c r="AK62" s="57">
        <f t="shared" si="40"/>
        <v>0.45158400000000004</v>
      </c>
      <c r="AL62" s="53">
        <f t="shared" si="41"/>
        <v>7.721748649398541E-2</v>
      </c>
      <c r="AM62" s="53">
        <f t="shared" si="42"/>
        <v>13.542400000000001</v>
      </c>
      <c r="AN62" s="80">
        <f t="shared" si="43"/>
        <v>5.5954700357960442E-2</v>
      </c>
      <c r="AO62" s="80">
        <f t="shared" si="44"/>
        <v>7.1111111111111125</v>
      </c>
      <c r="AP62" s="145">
        <f t="shared" si="45"/>
        <v>4.1997049551913308E-2</v>
      </c>
      <c r="AQ62" s="145">
        <f t="shared" si="46"/>
        <v>4.0059163575158916</v>
      </c>
      <c r="AR62" s="100">
        <f t="shared" si="47"/>
        <v>1.7625730612757537</v>
      </c>
      <c r="AS62" s="100">
        <f t="shared" si="48"/>
        <v>7056</v>
      </c>
      <c r="AT62" s="25">
        <f t="shared" si="49"/>
        <v>1.8183459088575511E-2</v>
      </c>
      <c r="AU62" s="25">
        <f t="shared" si="50"/>
        <v>0.75096089640000019</v>
      </c>
      <c r="AV62" s="53">
        <f>AA62*P62</f>
        <v>0.61270396891966672</v>
      </c>
      <c r="AW62" s="53">
        <f>AA62^2</f>
        <v>852.64</v>
      </c>
      <c r="AX62" s="100">
        <f>P62*R62</f>
        <v>0.62949037902705485</v>
      </c>
      <c r="AY62" s="100">
        <f>R62*R62</f>
        <v>900</v>
      </c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</row>
    <row r="63" spans="1:96" s="13" customFormat="1" ht="14">
      <c r="A63" s="16" t="s">
        <v>61</v>
      </c>
      <c r="B63" s="14">
        <v>6</v>
      </c>
      <c r="C63" s="14">
        <v>4</v>
      </c>
      <c r="D63" s="22" t="s">
        <v>3</v>
      </c>
      <c r="E63" s="15">
        <f t="shared" si="31"/>
        <v>2.333333333333333</v>
      </c>
      <c r="F63" s="15"/>
      <c r="G63" s="25">
        <f t="shared" si="53"/>
        <v>-1</v>
      </c>
      <c r="H63" s="15">
        <v>0.75</v>
      </c>
      <c r="I63" s="15">
        <v>0.75</v>
      </c>
      <c r="J63" s="25">
        <f t="shared" si="32"/>
        <v>0.63100000000000001</v>
      </c>
      <c r="K63" s="57">
        <f t="shared" si="33"/>
        <v>0.84133333333333338</v>
      </c>
      <c r="L63" s="15">
        <v>0.06</v>
      </c>
      <c r="M63" s="15">
        <v>0.2</v>
      </c>
      <c r="N63" s="70">
        <f t="shared" si="34"/>
        <v>0.1017910447761194</v>
      </c>
      <c r="O63" s="53">
        <f t="shared" si="51"/>
        <v>51.967761175516394</v>
      </c>
      <c r="P63" s="25">
        <f t="shared" si="35"/>
        <v>5.0608299078296136E-2</v>
      </c>
      <c r="Q63" s="15">
        <f t="shared" si="36"/>
        <v>0.55555555555555558</v>
      </c>
      <c r="R63" s="15"/>
      <c r="S63" s="15">
        <v>0.33100000000000002</v>
      </c>
      <c r="T63" s="70">
        <f>S63</f>
        <v>0.33100000000000002</v>
      </c>
      <c r="U63" s="15"/>
      <c r="V63" s="15">
        <v>0.85</v>
      </c>
      <c r="W63" s="25">
        <f>(V63+K63)/2</f>
        <v>0.84566666666666668</v>
      </c>
      <c r="X63" s="15" t="s">
        <v>225</v>
      </c>
      <c r="Y63" s="15">
        <v>0.1</v>
      </c>
      <c r="Z63" s="25">
        <f t="shared" si="52"/>
        <v>2.0324851563396957</v>
      </c>
      <c r="AA63" s="15">
        <v>25.5</v>
      </c>
      <c r="AB63" s="15">
        <v>7.6</v>
      </c>
      <c r="AC63" s="15">
        <v>0.86799999999999999</v>
      </c>
      <c r="AD63" s="75"/>
      <c r="AE63" s="15">
        <v>3.69</v>
      </c>
      <c r="AF63" s="131">
        <f t="shared" si="37"/>
        <v>3.911050063278966E-2</v>
      </c>
      <c r="AG63" s="39"/>
      <c r="AH63" s="39">
        <v>45</v>
      </c>
      <c r="AI63" s="57">
        <f t="shared" si="38"/>
        <v>1.6751346994916021E-2</v>
      </c>
      <c r="AJ63" s="57">
        <f t="shared" si="39"/>
        <v>2.5611999355982695E-3</v>
      </c>
      <c r="AK63" s="57">
        <f t="shared" si="40"/>
        <v>0.10956100000000001</v>
      </c>
      <c r="AL63" s="53">
        <f t="shared" si="41"/>
        <v>0.18674462359891275</v>
      </c>
      <c r="AM63" s="53">
        <f t="shared" si="42"/>
        <v>13.616099999999999</v>
      </c>
      <c r="AN63" s="80">
        <f t="shared" si="43"/>
        <v>0.11808603118269097</v>
      </c>
      <c r="AO63" s="80">
        <f t="shared" si="44"/>
        <v>5.4444444444444429</v>
      </c>
      <c r="AP63" s="145">
        <f t="shared" si="45"/>
        <v>0.10286061666423681</v>
      </c>
      <c r="AQ63" s="145">
        <f t="shared" si="46"/>
        <v>4.1309959107411975</v>
      </c>
      <c r="AR63" s="100">
        <f t="shared" si="47"/>
        <v>4.3928003599961046E-2</v>
      </c>
      <c r="AS63" s="100">
        <f t="shared" si="48"/>
        <v>0.75342399999999998</v>
      </c>
      <c r="AT63" s="25">
        <f t="shared" si="49"/>
        <v>3.79562243087221E-2</v>
      </c>
      <c r="AU63" s="25">
        <f t="shared" si="50"/>
        <v>0.5625</v>
      </c>
      <c r="AV63" s="53">
        <f>AA63*P63</f>
        <v>1.2905116264965515</v>
      </c>
      <c r="AW63" s="53">
        <f>AA63^2</f>
        <v>650.25</v>
      </c>
      <c r="AX63" s="100"/>
      <c r="AY63" s="100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</row>
    <row r="64" spans="1:96" s="80" customFormat="1" ht="14">
      <c r="A64" s="67" t="s">
        <v>62</v>
      </c>
      <c r="B64" s="68">
        <v>1</v>
      </c>
      <c r="C64" s="68">
        <v>1</v>
      </c>
      <c r="D64" s="69" t="s">
        <v>8</v>
      </c>
      <c r="E64" s="70">
        <f t="shared" si="31"/>
        <v>1</v>
      </c>
      <c r="F64" s="70">
        <v>24.7</v>
      </c>
      <c r="G64" s="70">
        <f t="shared" si="53"/>
        <v>0.89860666666666655</v>
      </c>
      <c r="H64" s="70">
        <f t="shared" ref="H64:H71" si="58">(G64+I64)/2</f>
        <v>0.78263666666666665</v>
      </c>
      <c r="I64" s="70">
        <f>2/3</f>
        <v>0.66666666666666663</v>
      </c>
      <c r="J64" s="70">
        <f t="shared" si="32"/>
        <v>8.1000000000000072E-2</v>
      </c>
      <c r="K64" s="70">
        <f t="shared" si="33"/>
        <v>0.1080000000000001</v>
      </c>
      <c r="L64" s="70">
        <v>0.53</v>
      </c>
      <c r="M64" s="70">
        <v>0.4</v>
      </c>
      <c r="N64" s="70">
        <f t="shared" si="34"/>
        <v>0.21582089552238806</v>
      </c>
      <c r="O64" s="70">
        <f t="shared" si="51"/>
        <v>3.0236283849437209</v>
      </c>
      <c r="P64" s="70">
        <f t="shared" si="35"/>
        <v>0.86981588514520858</v>
      </c>
      <c r="Q64" s="70">
        <f t="shared" si="36"/>
        <v>1</v>
      </c>
      <c r="R64" s="70">
        <v>26.8</v>
      </c>
      <c r="S64" s="70">
        <f>1-0.871</f>
        <v>0.129</v>
      </c>
      <c r="T64" s="70">
        <f>(R64/100+S64)/2</f>
        <v>0.19850000000000001</v>
      </c>
      <c r="U64" s="70">
        <v>0.49</v>
      </c>
      <c r="V64" s="70">
        <v>0.73</v>
      </c>
      <c r="W64" s="70">
        <f>(V64+U64+J64)/3</f>
        <v>0.4336666666666667</v>
      </c>
      <c r="X64" s="70">
        <f>-2/105</f>
        <v>-1.9047619047619049E-2</v>
      </c>
      <c r="Y64" s="70">
        <f>X64</f>
        <v>-1.9047619047619049E-2</v>
      </c>
      <c r="Z64" s="70">
        <f t="shared" si="52"/>
        <v>1.8461807535486474</v>
      </c>
      <c r="AA64" s="70" t="s">
        <v>223</v>
      </c>
      <c r="AB64" s="70">
        <v>7.8</v>
      </c>
      <c r="AC64" s="70">
        <v>5.4</v>
      </c>
      <c r="AD64" s="70"/>
      <c r="AE64" s="70">
        <v>9.19</v>
      </c>
      <c r="AF64" s="131">
        <f t="shared" si="37"/>
        <v>0.61058454231405512</v>
      </c>
      <c r="AG64" s="70">
        <v>1</v>
      </c>
      <c r="AH64" s="39">
        <v>21</v>
      </c>
      <c r="AI64" s="57">
        <f t="shared" si="38"/>
        <v>0.11220624918373191</v>
      </c>
      <c r="AJ64" s="57">
        <f t="shared" si="39"/>
        <v>0.75657967405094273</v>
      </c>
      <c r="AK64" s="57">
        <f t="shared" si="40"/>
        <v>1.6641E-2</v>
      </c>
      <c r="AL64" s="53">
        <f t="shared" si="41"/>
        <v>7.9936079844844663</v>
      </c>
      <c r="AM64" s="53">
        <f t="shared" si="42"/>
        <v>84.456099999999992</v>
      </c>
      <c r="AN64" s="80">
        <f t="shared" si="43"/>
        <v>0.86981588514520858</v>
      </c>
      <c r="AO64" s="80">
        <f t="shared" si="44"/>
        <v>1</v>
      </c>
      <c r="AP64" s="145">
        <f t="shared" si="45"/>
        <v>1.605837346285965</v>
      </c>
      <c r="AQ64" s="145">
        <f t="shared" si="46"/>
        <v>3.4083833747734515</v>
      </c>
      <c r="AR64" s="100">
        <f t="shared" si="47"/>
        <v>4.6970057797841269</v>
      </c>
      <c r="AS64" s="100">
        <f t="shared" si="48"/>
        <v>29.160000000000004</v>
      </c>
      <c r="AT64" s="25">
        <f t="shared" si="49"/>
        <v>0.68074980496376225</v>
      </c>
      <c r="AU64" s="25">
        <f t="shared" si="50"/>
        <v>0.6125201520111111</v>
      </c>
      <c r="AV64" s="53"/>
      <c r="AW64" s="53"/>
      <c r="AX64" s="100">
        <f>P64*R64</f>
        <v>23.311065721891591</v>
      </c>
      <c r="AY64" s="100">
        <f>R64*R64</f>
        <v>718.24</v>
      </c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</row>
    <row r="65" spans="1:96" s="49" customFormat="1" ht="14">
      <c r="A65" s="102" t="s">
        <v>63</v>
      </c>
      <c r="B65" s="103">
        <v>1</v>
      </c>
      <c r="C65" s="103">
        <v>1</v>
      </c>
      <c r="D65" s="104" t="s">
        <v>8</v>
      </c>
      <c r="E65" s="105">
        <f t="shared" si="31"/>
        <v>1</v>
      </c>
      <c r="F65" s="105">
        <v>24.3</v>
      </c>
      <c r="G65" s="105">
        <f t="shared" si="53"/>
        <v>0.86786000000000008</v>
      </c>
      <c r="H65" s="105">
        <f t="shared" si="58"/>
        <v>0.93393000000000004</v>
      </c>
      <c r="I65" s="105">
        <v>1</v>
      </c>
      <c r="J65" s="105">
        <f t="shared" si="32"/>
        <v>0.22300000000000009</v>
      </c>
      <c r="K65" s="105">
        <f t="shared" si="33"/>
        <v>0.29733333333333345</v>
      </c>
      <c r="L65" s="105">
        <v>4.29</v>
      </c>
      <c r="M65" s="105">
        <v>0.8</v>
      </c>
      <c r="N65" s="105">
        <f t="shared" si="34"/>
        <v>0.52805970149253734</v>
      </c>
      <c r="O65" s="105">
        <f t="shared" si="51"/>
        <v>5.8085039082765526</v>
      </c>
      <c r="P65" s="105">
        <f t="shared" si="35"/>
        <v>0.45278440740179343</v>
      </c>
      <c r="Q65" s="105">
        <f t="shared" si="36"/>
        <v>1</v>
      </c>
      <c r="R65" s="105">
        <v>32.700000000000003</v>
      </c>
      <c r="S65" s="105">
        <f>1-0.872</f>
        <v>0.128</v>
      </c>
      <c r="T65" s="105">
        <f>(R65/100+S65)/2</f>
        <v>0.22750000000000001</v>
      </c>
      <c r="U65" s="105">
        <v>0.85499999999999998</v>
      </c>
      <c r="V65" s="105">
        <v>0.83</v>
      </c>
      <c r="W65" s="105">
        <f>(V65+U65+J65)/3</f>
        <v>0.63600000000000001</v>
      </c>
      <c r="X65" s="105">
        <f>6/103</f>
        <v>5.8252427184466021E-2</v>
      </c>
      <c r="Y65" s="105">
        <f>X65</f>
        <v>5.8252427184466021E-2</v>
      </c>
      <c r="Z65" s="105">
        <f t="shared" si="52"/>
        <v>2.5136915938977329</v>
      </c>
      <c r="AA65" s="105">
        <v>6.2</v>
      </c>
      <c r="AB65" s="105">
        <v>9.1</v>
      </c>
      <c r="AC65" s="105">
        <v>65.3</v>
      </c>
      <c r="AD65" s="105"/>
      <c r="AE65" s="105">
        <v>7.77</v>
      </c>
      <c r="AF65" s="131">
        <f t="shared" si="37"/>
        <v>0.43276059267446942</v>
      </c>
      <c r="AG65" s="105">
        <v>1</v>
      </c>
      <c r="AH65" s="105">
        <v>23</v>
      </c>
      <c r="AI65" s="135">
        <f t="shared" si="38"/>
        <v>5.7956404147429558E-2</v>
      </c>
      <c r="AJ65" s="57">
        <f t="shared" si="39"/>
        <v>0.20501371958619324</v>
      </c>
      <c r="AK65" s="57">
        <f t="shared" si="40"/>
        <v>1.6383999999999999E-2</v>
      </c>
      <c r="AL65" s="53">
        <f t="shared" si="41"/>
        <v>3.5181348455119346</v>
      </c>
      <c r="AM65" s="53">
        <f t="shared" si="42"/>
        <v>60.372899999999994</v>
      </c>
      <c r="AN65" s="80">
        <f t="shared" si="43"/>
        <v>0.45278440740179343</v>
      </c>
      <c r="AO65" s="80">
        <f t="shared" si="44"/>
        <v>1</v>
      </c>
      <c r="AP65" s="145">
        <f t="shared" si="45"/>
        <v>1.1381603587338547</v>
      </c>
      <c r="AQ65" s="145">
        <f t="shared" si="46"/>
        <v>6.3186454292321246</v>
      </c>
      <c r="AR65" s="100">
        <f t="shared" si="47"/>
        <v>29.56682180333711</v>
      </c>
      <c r="AS65" s="100">
        <f t="shared" si="48"/>
        <v>4264.0899999999992</v>
      </c>
      <c r="AT65" s="25">
        <f t="shared" si="49"/>
        <v>0.42286894160475696</v>
      </c>
      <c r="AU65" s="25">
        <f t="shared" si="50"/>
        <v>0.87222524490000009</v>
      </c>
      <c r="AV65" s="53">
        <f>AA65*P65</f>
        <v>2.8072633258911193</v>
      </c>
      <c r="AW65" s="53">
        <f>AA65^2</f>
        <v>38.440000000000005</v>
      </c>
      <c r="AX65" s="100">
        <f>P65*R65</f>
        <v>14.806050122038647</v>
      </c>
      <c r="AY65" s="100">
        <f>R65*R65</f>
        <v>1069.2900000000002</v>
      </c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</row>
    <row r="66" spans="1:96" s="25" customFormat="1" ht="14">
      <c r="A66" s="26" t="s">
        <v>64</v>
      </c>
      <c r="B66" s="24">
        <v>6</v>
      </c>
      <c r="C66" s="24">
        <v>5</v>
      </c>
      <c r="D66" s="27" t="s">
        <v>4</v>
      </c>
      <c r="E66" s="25">
        <f t="shared" si="31"/>
        <v>2.5</v>
      </c>
      <c r="F66" s="25">
        <v>32.700000000000003</v>
      </c>
      <c r="G66" s="25">
        <f t="shared" si="53"/>
        <v>1.5135400000000003</v>
      </c>
      <c r="H66" s="25">
        <f t="shared" si="58"/>
        <v>1.1317700000000002</v>
      </c>
      <c r="I66" s="25">
        <v>0.75</v>
      </c>
      <c r="J66" s="25">
        <f t="shared" si="32"/>
        <v>0.67100000000000004</v>
      </c>
      <c r="K66" s="57">
        <f t="shared" si="33"/>
        <v>0.89466666666666672</v>
      </c>
      <c r="L66" s="25">
        <v>0.09</v>
      </c>
      <c r="M66" s="25">
        <v>0.2</v>
      </c>
      <c r="N66" s="70">
        <f t="shared" si="34"/>
        <v>0.10268656716417911</v>
      </c>
      <c r="O66" s="53">
        <f t="shared" si="51"/>
        <v>204.95861579269871</v>
      </c>
      <c r="P66" s="25">
        <f t="shared" si="35"/>
        <v>1.2831858713663742E-2</v>
      </c>
      <c r="Q66" s="25">
        <f t="shared" si="36"/>
        <v>0.5</v>
      </c>
      <c r="S66" s="25">
        <v>0.35199999999999998</v>
      </c>
      <c r="T66" s="70">
        <f>S66</f>
        <v>0.35199999999999998</v>
      </c>
      <c r="U66" s="25">
        <v>0.183</v>
      </c>
      <c r="V66" s="25">
        <v>0.44</v>
      </c>
      <c r="W66" s="25">
        <f>(V66+U66+J66)/3</f>
        <v>0.43133333333333335</v>
      </c>
      <c r="X66" s="25">
        <f>51/135</f>
        <v>0.37777777777777777</v>
      </c>
      <c r="Y66" s="25">
        <f>X66</f>
        <v>0.37777777777777777</v>
      </c>
      <c r="Z66" s="25">
        <f t="shared" si="52"/>
        <v>1.7870309499969752</v>
      </c>
      <c r="AA66" s="25" t="s">
        <v>223</v>
      </c>
      <c r="AB66" s="25">
        <v>21</v>
      </c>
      <c r="AC66" s="25">
        <v>1.53</v>
      </c>
      <c r="AD66" s="75"/>
      <c r="AE66" s="25">
        <v>3.29</v>
      </c>
      <c r="AF66" s="131">
        <f t="shared" si="37"/>
        <v>8.7189842841465717E-3</v>
      </c>
      <c r="AG66" s="15">
        <v>1</v>
      </c>
      <c r="AH66" s="15">
        <v>58</v>
      </c>
      <c r="AI66" s="57">
        <f t="shared" si="38"/>
        <v>4.5168142672096373E-3</v>
      </c>
      <c r="AJ66" s="57">
        <f t="shared" si="39"/>
        <v>1.6465659804742813E-4</v>
      </c>
      <c r="AK66" s="57">
        <f t="shared" si="40"/>
        <v>0.12390399999999999</v>
      </c>
      <c r="AL66" s="53">
        <f t="shared" si="41"/>
        <v>4.2216815167953711E-2</v>
      </c>
      <c r="AM66" s="53">
        <f t="shared" si="42"/>
        <v>10.8241</v>
      </c>
      <c r="AN66" s="80">
        <f t="shared" si="43"/>
        <v>3.2079646784159359E-2</v>
      </c>
      <c r="AO66" s="80">
        <f t="shared" si="44"/>
        <v>6.25</v>
      </c>
      <c r="AP66" s="145">
        <f t="shared" si="45"/>
        <v>2.2930928667305481E-2</v>
      </c>
      <c r="AQ66" s="145">
        <f t="shared" si="46"/>
        <v>3.1934796162470915</v>
      </c>
      <c r="AR66" s="100">
        <f t="shared" si="47"/>
        <v>1.9632743831905525E-2</v>
      </c>
      <c r="AS66" s="100">
        <f t="shared" si="48"/>
        <v>2.3409</v>
      </c>
      <c r="AT66" s="25">
        <f t="shared" si="49"/>
        <v>1.4522712736363215E-2</v>
      </c>
      <c r="AU66" s="25">
        <f t="shared" si="50"/>
        <v>1.2809033329000004</v>
      </c>
      <c r="AV66" s="53"/>
      <c r="AW66" s="53"/>
      <c r="AX66" s="100"/>
      <c r="AY66" s="100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</row>
    <row r="67" spans="1:96" s="49" customFormat="1" ht="14">
      <c r="A67" s="16" t="s">
        <v>65</v>
      </c>
      <c r="B67" s="14">
        <v>5</v>
      </c>
      <c r="C67" s="14">
        <v>5</v>
      </c>
      <c r="D67" s="22" t="s">
        <v>3</v>
      </c>
      <c r="E67" s="15">
        <f t="shared" si="31"/>
        <v>2.333333333333333</v>
      </c>
      <c r="F67" s="15">
        <v>36.9</v>
      </c>
      <c r="G67" s="25">
        <f t="shared" si="53"/>
        <v>1.8363799999999997</v>
      </c>
      <c r="H67" s="15">
        <f t="shared" si="58"/>
        <v>1.2931899999999998</v>
      </c>
      <c r="I67" s="15">
        <v>0.75</v>
      </c>
      <c r="J67" s="25">
        <f t="shared" si="32"/>
        <v>0.66200000000000003</v>
      </c>
      <c r="K67" s="57">
        <f t="shared" si="33"/>
        <v>0.88266666666666671</v>
      </c>
      <c r="L67" s="15">
        <v>0.04</v>
      </c>
      <c r="M67" s="15">
        <v>0.2</v>
      </c>
      <c r="N67" s="70">
        <f t="shared" si="34"/>
        <v>0.10119402985074627</v>
      </c>
      <c r="O67" s="53">
        <f t="shared" si="51"/>
        <v>202.98220028534627</v>
      </c>
      <c r="P67" s="25">
        <f t="shared" si="35"/>
        <v>1.2956801120013602E-2</v>
      </c>
      <c r="Q67" s="15">
        <f t="shared" si="36"/>
        <v>0.55555555555555558</v>
      </c>
      <c r="R67" s="15">
        <v>50.2</v>
      </c>
      <c r="S67" s="15">
        <v>0.61</v>
      </c>
      <c r="T67" s="15">
        <f>(R67/100+S67)/2</f>
        <v>0.55600000000000005</v>
      </c>
      <c r="U67" s="15"/>
      <c r="V67" s="15">
        <v>0.45</v>
      </c>
      <c r="W67" s="25">
        <f>(V67+K67)/2</f>
        <v>0.66633333333333333</v>
      </c>
      <c r="X67" s="15">
        <f>-14/125</f>
        <v>-0.112</v>
      </c>
      <c r="Y67" s="15">
        <f>X67</f>
        <v>-0.112</v>
      </c>
      <c r="Z67" s="25">
        <f t="shared" si="52"/>
        <v>1.8530850630809861</v>
      </c>
      <c r="AA67" s="15" t="s">
        <v>223</v>
      </c>
      <c r="AB67" s="15"/>
      <c r="AC67" s="15">
        <v>1.77</v>
      </c>
      <c r="AD67" s="75"/>
      <c r="AE67" s="15">
        <v>3.38</v>
      </c>
      <c r="AF67" s="131">
        <f t="shared" si="37"/>
        <v>9.1292983349080606E-3</v>
      </c>
      <c r="AG67" s="39">
        <v>1</v>
      </c>
      <c r="AH67" s="39">
        <v>58</v>
      </c>
      <c r="AI67" s="57">
        <f t="shared" si="38"/>
        <v>7.9036486832082965E-3</v>
      </c>
      <c r="AJ67" s="57">
        <f t="shared" si="39"/>
        <v>1.6787869526358574E-4</v>
      </c>
      <c r="AK67" s="57">
        <f t="shared" si="40"/>
        <v>0.37209999999999999</v>
      </c>
      <c r="AL67" s="53">
        <f t="shared" si="41"/>
        <v>4.3793987785645971E-2</v>
      </c>
      <c r="AM67" s="53">
        <f t="shared" si="42"/>
        <v>11.424399999999999</v>
      </c>
      <c r="AN67" s="80">
        <f t="shared" si="43"/>
        <v>3.0232535946698402E-2</v>
      </c>
      <c r="AO67" s="80">
        <f t="shared" si="44"/>
        <v>5.4444444444444429</v>
      </c>
      <c r="AP67" s="145">
        <f t="shared" si="45"/>
        <v>2.4010054620808196E-2</v>
      </c>
      <c r="AQ67" s="145">
        <f t="shared" si="46"/>
        <v>3.4339242510138623</v>
      </c>
      <c r="AR67" s="100">
        <f t="shared" si="47"/>
        <v>2.2933537982424076E-2</v>
      </c>
      <c r="AS67" s="100">
        <f t="shared" si="48"/>
        <v>3.1329000000000002</v>
      </c>
      <c r="AT67" s="25">
        <f t="shared" si="49"/>
        <v>1.6755605640390386E-2</v>
      </c>
      <c r="AU67" s="25">
        <f t="shared" si="50"/>
        <v>1.6723403760999995</v>
      </c>
      <c r="AV67" s="53"/>
      <c r="AW67" s="53"/>
      <c r="AX67" s="100">
        <f>P67*R67</f>
        <v>0.65043141622468281</v>
      </c>
      <c r="AY67" s="100">
        <f>R67*R67</f>
        <v>2520.0400000000004</v>
      </c>
    </row>
    <row r="68" spans="1:96" s="134" customFormat="1" ht="14">
      <c r="A68" s="16" t="s">
        <v>66</v>
      </c>
      <c r="B68" s="14">
        <v>4</v>
      </c>
      <c r="C68" s="14">
        <v>3</v>
      </c>
      <c r="D68" s="22" t="s">
        <v>3</v>
      </c>
      <c r="E68" s="15">
        <f t="shared" ref="E68:E99" si="59">1+(-2+B68+C68)/6</f>
        <v>1.8333333333333335</v>
      </c>
      <c r="F68" s="15">
        <v>31.3</v>
      </c>
      <c r="G68" s="25">
        <f t="shared" si="53"/>
        <v>1.4059266666666668</v>
      </c>
      <c r="H68" s="15">
        <f t="shared" si="58"/>
        <v>1.0779633333333334</v>
      </c>
      <c r="I68" s="15">
        <v>0.75</v>
      </c>
      <c r="J68" s="25">
        <f t="shared" ref="J68:J99" si="60">1-AE68/10</f>
        <v>0.54100000000000004</v>
      </c>
      <c r="K68" s="57">
        <f t="shared" ref="K68:K99" si="61">4*J68/3</f>
        <v>0.72133333333333338</v>
      </c>
      <c r="L68" s="15">
        <v>0.09</v>
      </c>
      <c r="M68" s="15">
        <v>0.2</v>
      </c>
      <c r="N68" s="70">
        <f t="shared" ref="N68:N99" si="62">(L68/16.75+M68)/2</f>
        <v>0.10268656716417911</v>
      </c>
      <c r="O68" s="53">
        <f t="shared" si="51"/>
        <v>32.686732512984861</v>
      </c>
      <c r="P68" s="25">
        <f t="shared" ref="P68:P99" si="63">2.63/O68</f>
        <v>8.0460780194387058E-2</v>
      </c>
      <c r="Q68" s="15">
        <f t="shared" ref="Q68:Q99" si="64">1-(E68-1)/3</f>
        <v>0.7222222222222221</v>
      </c>
      <c r="R68" s="15">
        <v>40.799999999999997</v>
      </c>
      <c r="S68" s="15">
        <f>1-0.698</f>
        <v>0.30200000000000005</v>
      </c>
      <c r="T68" s="15">
        <f>(R68/100+S68)/2</f>
        <v>0.35499999999999998</v>
      </c>
      <c r="U68" s="15"/>
      <c r="V68" s="15">
        <v>0.32</v>
      </c>
      <c r="W68" s="25">
        <f>(V68+K68)/2</f>
        <v>0.52066666666666672</v>
      </c>
      <c r="X68" s="15" t="s">
        <v>225</v>
      </c>
      <c r="Y68" s="15">
        <v>0.1</v>
      </c>
      <c r="Z68" s="25">
        <f t="shared" si="52"/>
        <v>2.0231347159795336</v>
      </c>
      <c r="AA68" s="15">
        <v>9.6999999999999993</v>
      </c>
      <c r="AB68" s="15">
        <v>16.3</v>
      </c>
      <c r="AC68" s="15">
        <v>4.47</v>
      </c>
      <c r="AD68" s="75"/>
      <c r="AE68" s="15">
        <v>4.59</v>
      </c>
      <c r="AF68" s="131">
        <f t="shared" ref="AF68:AF99" si="65">Z68/O68</f>
        <v>6.1894675926259683E-2</v>
      </c>
      <c r="AG68" s="62">
        <v>1</v>
      </c>
      <c r="AH68" s="62">
        <v>57</v>
      </c>
      <c r="AI68" s="57">
        <f t="shared" ref="AI68:AI99" si="66">P68*S68</f>
        <v>2.4299155618704896E-2</v>
      </c>
      <c r="AJ68" s="57">
        <f t="shared" ref="AJ68:AJ99" si="67">P68*P68</f>
        <v>6.4739371494894685E-3</v>
      </c>
      <c r="AK68" s="57">
        <f t="shared" ref="AK68:AK99" si="68">S68*S68</f>
        <v>9.1204000000000021E-2</v>
      </c>
      <c r="AL68" s="53">
        <f t="shared" ref="AL68:AL99" si="69">AE68*P68</f>
        <v>0.36931498109223659</v>
      </c>
      <c r="AM68" s="53">
        <f t="shared" ref="AM68:AM99" si="70">AE68^2</f>
        <v>21.068099999999998</v>
      </c>
      <c r="AN68" s="80">
        <f t="shared" ref="AN68:AN99" si="71">P68*E68</f>
        <v>0.14751143035637629</v>
      </c>
      <c r="AO68" s="80">
        <f t="shared" ref="AO68:AO99" si="72">E68^2</f>
        <v>3.3611111111111116</v>
      </c>
      <c r="AP68" s="145">
        <f t="shared" ref="AP68:AP99" si="73">Z68*P68</f>
        <v>0.16278299768606294</v>
      </c>
      <c r="AQ68" s="145">
        <f t="shared" ref="AQ68:AQ99" si="74">Z68*Z68</f>
        <v>4.093074079001588</v>
      </c>
      <c r="AR68" s="100">
        <f t="shared" ref="AR68:AR99" si="75">AC68*P68</f>
        <v>0.35965968746891014</v>
      </c>
      <c r="AS68" s="100">
        <f t="shared" ref="AS68:AS99" si="76">AC68^2</f>
        <v>19.980899999999998</v>
      </c>
      <c r="AT68" s="25">
        <f t="shared" ref="AT68:AT99" si="77">H68*P68</f>
        <v>8.6733770820942122E-2</v>
      </c>
      <c r="AU68" s="25">
        <f t="shared" ref="AU68:AU99" si="78">H68^2</f>
        <v>1.1620049480111112</v>
      </c>
      <c r="AV68" s="53">
        <f t="shared" ref="AV68:AV74" si="79">AA68*P68</f>
        <v>0.78046956788555444</v>
      </c>
      <c r="AW68" s="53">
        <f t="shared" ref="AW68:AW74" si="80">AA68^2</f>
        <v>94.089999999999989</v>
      </c>
      <c r="AX68" s="100">
        <f>P68*R68</f>
        <v>3.2827998319309919</v>
      </c>
      <c r="AY68" s="100">
        <f>R68*R68</f>
        <v>1664.6399999999999</v>
      </c>
    </row>
    <row r="69" spans="1:96" s="57" customFormat="1" ht="14">
      <c r="A69" s="102" t="s">
        <v>67</v>
      </c>
      <c r="B69" s="103">
        <v>1</v>
      </c>
      <c r="C69" s="103">
        <v>1</v>
      </c>
      <c r="D69" s="104" t="s">
        <v>8</v>
      </c>
      <c r="E69" s="105">
        <f t="shared" si="59"/>
        <v>1</v>
      </c>
      <c r="F69" s="105">
        <v>24</v>
      </c>
      <c r="G69" s="105">
        <f t="shared" si="53"/>
        <v>0.8448</v>
      </c>
      <c r="H69" s="105">
        <f t="shared" si="58"/>
        <v>0.75740000000000007</v>
      </c>
      <c r="I69" s="105">
        <v>0.67</v>
      </c>
      <c r="J69" s="105">
        <f t="shared" si="60"/>
        <v>0.16199999999999992</v>
      </c>
      <c r="K69" s="105">
        <f t="shared" si="61"/>
        <v>0.21599999999999989</v>
      </c>
      <c r="L69" s="105">
        <v>5.81</v>
      </c>
      <c r="M69" s="105">
        <v>0.8</v>
      </c>
      <c r="N69" s="105">
        <f t="shared" si="62"/>
        <v>0.57343283582089555</v>
      </c>
      <c r="O69" s="105">
        <f t="shared" ref="O69:O100" si="81">EXP(E69*(H69+K69+N69))</f>
        <v>4.6965717882816369</v>
      </c>
      <c r="P69" s="105">
        <f t="shared" si="63"/>
        <v>0.55998292340853451</v>
      </c>
      <c r="Q69" s="105">
        <f t="shared" si="64"/>
        <v>1</v>
      </c>
      <c r="R69" s="105">
        <v>27</v>
      </c>
      <c r="S69" s="105">
        <f>1-0.885</f>
        <v>0.11499999999999999</v>
      </c>
      <c r="T69" s="105">
        <f>(R69/100+S69)/2</f>
        <v>0.1925</v>
      </c>
      <c r="U69" s="105">
        <v>0.81499999999999995</v>
      </c>
      <c r="V69" s="105">
        <v>0.73</v>
      </c>
      <c r="W69" s="105">
        <f>(V69+U69+J69)/3</f>
        <v>0.56899999999999995</v>
      </c>
      <c r="X69" s="105">
        <f>3/106</f>
        <v>2.8301886792452831E-2</v>
      </c>
      <c r="Y69" s="105">
        <f>X69</f>
        <v>2.8301886792452831E-2</v>
      </c>
      <c r="Z69" s="105">
        <f t="shared" ref="Z69:Z100" si="82">EXP(Q69*(Y69+W69+T69))</f>
        <v>2.2029599475599579</v>
      </c>
      <c r="AA69" s="105">
        <v>15.5</v>
      </c>
      <c r="AB69" s="105">
        <v>5.7</v>
      </c>
      <c r="AC69" s="105">
        <v>81.83</v>
      </c>
      <c r="AD69" s="105"/>
      <c r="AE69" s="105">
        <v>8.3800000000000008</v>
      </c>
      <c r="AF69" s="131">
        <f t="shared" si="65"/>
        <v>0.46905701581237158</v>
      </c>
      <c r="AG69" s="105">
        <v>1</v>
      </c>
      <c r="AH69" s="105">
        <v>23</v>
      </c>
      <c r="AI69" s="135">
        <f t="shared" si="66"/>
        <v>6.4398036191981464E-2</v>
      </c>
      <c r="AJ69" s="57">
        <f t="shared" si="67"/>
        <v>0.31358087450916861</v>
      </c>
      <c r="AK69" s="57">
        <f t="shared" si="68"/>
        <v>1.3224999999999997E-2</v>
      </c>
      <c r="AL69" s="53">
        <f t="shared" si="69"/>
        <v>4.6926568981635199</v>
      </c>
      <c r="AM69" s="53">
        <f t="shared" si="70"/>
        <v>70.224400000000017</v>
      </c>
      <c r="AN69" s="80">
        <f t="shared" si="71"/>
        <v>0.55998292340853451</v>
      </c>
      <c r="AO69" s="80">
        <f t="shared" si="72"/>
        <v>1</v>
      </c>
      <c r="AP69" s="145">
        <f t="shared" si="73"/>
        <v>1.2336199515865371</v>
      </c>
      <c r="AQ69" s="145">
        <f t="shared" si="74"/>
        <v>4.8530325305533726</v>
      </c>
      <c r="AR69" s="100">
        <f t="shared" si="75"/>
        <v>45.823402622520376</v>
      </c>
      <c r="AS69" s="100">
        <f t="shared" si="76"/>
        <v>6696.1489000000001</v>
      </c>
      <c r="AT69" s="25">
        <f t="shared" si="77"/>
        <v>0.4241310661896241</v>
      </c>
      <c r="AU69" s="25">
        <f t="shared" si="78"/>
        <v>0.57365476000000015</v>
      </c>
      <c r="AV69" s="53">
        <f t="shared" si="79"/>
        <v>8.6797353128322854</v>
      </c>
      <c r="AW69" s="53">
        <f t="shared" si="80"/>
        <v>240.25</v>
      </c>
      <c r="AX69" s="100">
        <f>P69*R69</f>
        <v>15.119538932030432</v>
      </c>
      <c r="AY69" s="100">
        <f>R69*R69</f>
        <v>729</v>
      </c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</row>
    <row r="70" spans="1:96" s="53" customFormat="1" ht="14">
      <c r="A70" s="71" t="s">
        <v>68</v>
      </c>
      <c r="B70" s="72">
        <v>1</v>
      </c>
      <c r="C70" s="72">
        <v>2</v>
      </c>
      <c r="D70" s="73" t="s">
        <v>8</v>
      </c>
      <c r="E70" s="74">
        <f t="shared" si="59"/>
        <v>1.1666666666666667</v>
      </c>
      <c r="F70" s="74">
        <v>32.799999999999997</v>
      </c>
      <c r="G70" s="74">
        <f t="shared" si="53"/>
        <v>1.5212266666666663</v>
      </c>
      <c r="H70" s="74">
        <f t="shared" si="58"/>
        <v>1.1356133333333331</v>
      </c>
      <c r="I70" s="74">
        <v>0.75</v>
      </c>
      <c r="J70" s="74">
        <f t="shared" si="60"/>
        <v>0.39800000000000002</v>
      </c>
      <c r="K70" s="74">
        <f t="shared" si="61"/>
        <v>0.53066666666666673</v>
      </c>
      <c r="L70" s="74">
        <v>0.14000000000000001</v>
      </c>
      <c r="M70" s="74">
        <v>0.2</v>
      </c>
      <c r="N70" s="74">
        <f t="shared" si="62"/>
        <v>0.10417910447761194</v>
      </c>
      <c r="O70" s="74">
        <f t="shared" si="81"/>
        <v>7.8895225671340956</v>
      </c>
      <c r="P70" s="74">
        <f t="shared" si="63"/>
        <v>0.33335350493272742</v>
      </c>
      <c r="Q70" s="74">
        <f t="shared" si="64"/>
        <v>0.94444444444444442</v>
      </c>
      <c r="R70" s="74">
        <v>39.4</v>
      </c>
      <c r="S70" s="74">
        <v>0.53300000000000003</v>
      </c>
      <c r="T70" s="74">
        <f>(R70/100+S70)/2</f>
        <v>0.46350000000000002</v>
      </c>
      <c r="U70" s="74">
        <v>0.38700000000000001</v>
      </c>
      <c r="V70" s="74">
        <v>-0.35</v>
      </c>
      <c r="W70" s="74">
        <f>(V70+U70+J70)/3</f>
        <v>0.14500000000000002</v>
      </c>
      <c r="X70" s="74" t="s">
        <v>225</v>
      </c>
      <c r="Y70" s="74">
        <v>0.1</v>
      </c>
      <c r="Z70" s="74">
        <f t="shared" si="82"/>
        <v>1.9525552295030149</v>
      </c>
      <c r="AA70" s="74">
        <v>28.5</v>
      </c>
      <c r="AB70" s="74">
        <v>11</v>
      </c>
      <c r="AC70" s="74">
        <v>24.23</v>
      </c>
      <c r="AD70" s="74"/>
      <c r="AE70" s="74">
        <v>6.02</v>
      </c>
      <c r="AF70" s="131">
        <f t="shared" si="65"/>
        <v>0.24748712141808213</v>
      </c>
      <c r="AG70" s="74">
        <v>1</v>
      </c>
      <c r="AH70" s="74">
        <v>58</v>
      </c>
      <c r="AI70" s="57">
        <f t="shared" si="66"/>
        <v>0.17767741812914373</v>
      </c>
      <c r="AJ70" s="57">
        <f t="shared" si="67"/>
        <v>0.11112455925093392</v>
      </c>
      <c r="AK70" s="57">
        <f t="shared" si="68"/>
        <v>0.28408900000000004</v>
      </c>
      <c r="AL70" s="53">
        <f t="shared" si="69"/>
        <v>2.0067880996950187</v>
      </c>
      <c r="AM70" s="53">
        <f t="shared" si="70"/>
        <v>36.240399999999994</v>
      </c>
      <c r="AN70" s="80">
        <f t="shared" si="71"/>
        <v>0.38891242242151536</v>
      </c>
      <c r="AO70" s="80">
        <f t="shared" si="72"/>
        <v>1.3611111111111114</v>
      </c>
      <c r="AP70" s="145">
        <f t="shared" si="73"/>
        <v>0.65089112932955595</v>
      </c>
      <c r="AQ70" s="145">
        <f t="shared" si="74"/>
        <v>3.812471924259571</v>
      </c>
      <c r="AR70" s="100">
        <f t="shared" si="75"/>
        <v>8.0771554245199848</v>
      </c>
      <c r="AS70" s="100">
        <f t="shared" si="76"/>
        <v>587.09289999999999</v>
      </c>
      <c r="AT70" s="25">
        <f t="shared" si="77"/>
        <v>0.37856068491500428</v>
      </c>
      <c r="AU70" s="25">
        <f t="shared" si="78"/>
        <v>1.2896176428444439</v>
      </c>
      <c r="AV70" s="53">
        <f t="shared" si="79"/>
        <v>9.5005748905827314</v>
      </c>
      <c r="AW70" s="53">
        <f t="shared" si="80"/>
        <v>812.25</v>
      </c>
      <c r="AX70" s="100">
        <f>P70*R70</f>
        <v>13.13412809434946</v>
      </c>
      <c r="AY70" s="100">
        <f>R70*R70</f>
        <v>1552.36</v>
      </c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</row>
    <row r="71" spans="1:96" s="74" customFormat="1" ht="14">
      <c r="A71" s="36" t="s">
        <v>69</v>
      </c>
      <c r="B71" s="37">
        <v>1</v>
      </c>
      <c r="C71" s="37">
        <v>2</v>
      </c>
      <c r="D71" s="38" t="s">
        <v>8</v>
      </c>
      <c r="E71" s="39">
        <f t="shared" si="59"/>
        <v>1.1666666666666667</v>
      </c>
      <c r="F71" s="39">
        <v>26</v>
      </c>
      <c r="G71" s="39">
        <f t="shared" si="53"/>
        <v>0.99853333333333349</v>
      </c>
      <c r="H71" s="39">
        <f t="shared" si="58"/>
        <v>0.99926666666666675</v>
      </c>
      <c r="I71" s="39">
        <v>1</v>
      </c>
      <c r="J71" s="39">
        <f t="shared" si="60"/>
        <v>0.20799999999999996</v>
      </c>
      <c r="K71" s="39">
        <f t="shared" si="61"/>
        <v>0.27733333333333327</v>
      </c>
      <c r="L71" s="39">
        <v>0.87</v>
      </c>
      <c r="M71" s="39">
        <v>0.2</v>
      </c>
      <c r="N71" s="39">
        <f t="shared" si="62"/>
        <v>0.12597014925373134</v>
      </c>
      <c r="O71" s="39">
        <f t="shared" si="81"/>
        <v>5.1362941697854563</v>
      </c>
      <c r="P71" s="39">
        <f t="shared" si="63"/>
        <v>0.51204232332936173</v>
      </c>
      <c r="Q71" s="39">
        <f t="shared" si="64"/>
        <v>0.94444444444444442</v>
      </c>
      <c r="R71" s="39">
        <v>33</v>
      </c>
      <c r="S71" s="39">
        <f>1-0.855</f>
        <v>0.14500000000000002</v>
      </c>
      <c r="T71" s="39">
        <f>(R71/100+S71)/2</f>
        <v>0.23750000000000002</v>
      </c>
      <c r="U71" s="39">
        <v>1.6539999999999999</v>
      </c>
      <c r="V71" s="39">
        <v>1.6</v>
      </c>
      <c r="W71" s="39">
        <f>(V71+U71+J71)/3</f>
        <v>1.1539999999999999</v>
      </c>
      <c r="X71" s="39">
        <f>9/104</f>
        <v>8.6538461538461536E-2</v>
      </c>
      <c r="Y71" s="39">
        <f>X71</f>
        <v>8.6538461538461536E-2</v>
      </c>
      <c r="Z71" s="39">
        <f t="shared" si="82"/>
        <v>4.0387095138288451</v>
      </c>
      <c r="AA71" s="39">
        <v>20</v>
      </c>
      <c r="AB71" s="39">
        <v>17</v>
      </c>
      <c r="AC71" s="39">
        <v>10.787000000000001</v>
      </c>
      <c r="AD71" s="39"/>
      <c r="AE71" s="39">
        <v>7.92</v>
      </c>
      <c r="AF71" s="131">
        <f t="shared" si="65"/>
        <v>0.78630806186818203</v>
      </c>
      <c r="AG71" s="39">
        <v>1</v>
      </c>
      <c r="AH71" s="15">
        <v>29</v>
      </c>
      <c r="AI71" s="57">
        <f t="shared" si="66"/>
        <v>7.4246136882757455E-2</v>
      </c>
      <c r="AJ71" s="57">
        <f t="shared" si="67"/>
        <v>0.26218734088053064</v>
      </c>
      <c r="AK71" s="57">
        <f t="shared" si="68"/>
        <v>2.1025000000000005E-2</v>
      </c>
      <c r="AL71" s="53">
        <f t="shared" si="69"/>
        <v>4.0553752007685446</v>
      </c>
      <c r="AM71" s="53">
        <f t="shared" si="70"/>
        <v>62.726399999999998</v>
      </c>
      <c r="AN71" s="80">
        <f t="shared" si="71"/>
        <v>0.59738271055092207</v>
      </c>
      <c r="AO71" s="80">
        <f t="shared" si="72"/>
        <v>1.3611111111111114</v>
      </c>
      <c r="AP71" s="145">
        <f t="shared" si="73"/>
        <v>2.067990202713319</v>
      </c>
      <c r="AQ71" s="145">
        <f t="shared" si="74"/>
        <v>16.311174537091627</v>
      </c>
      <c r="AR71" s="100">
        <f t="shared" si="75"/>
        <v>5.5234005417538254</v>
      </c>
      <c r="AS71" s="100">
        <f t="shared" si="76"/>
        <v>116.35936900000002</v>
      </c>
      <c r="AT71" s="25">
        <f t="shared" si="77"/>
        <v>0.51166682562558685</v>
      </c>
      <c r="AU71" s="25">
        <f t="shared" si="78"/>
        <v>0.99853387111111125</v>
      </c>
      <c r="AV71" s="53">
        <f t="shared" si="79"/>
        <v>10.240846466587234</v>
      </c>
      <c r="AW71" s="53">
        <f t="shared" si="80"/>
        <v>400</v>
      </c>
      <c r="AX71" s="100">
        <f>P71*R71</f>
        <v>16.897396669868936</v>
      </c>
      <c r="AY71" s="100">
        <f>R71*R71</f>
        <v>1089</v>
      </c>
    </row>
    <row r="72" spans="1:96" s="13" customFormat="1" ht="14">
      <c r="A72" s="16" t="s">
        <v>70</v>
      </c>
      <c r="B72" s="14">
        <v>1</v>
      </c>
      <c r="C72" s="14">
        <v>2</v>
      </c>
      <c r="D72" s="22" t="s">
        <v>8</v>
      </c>
      <c r="E72" s="15">
        <f t="shared" si="59"/>
        <v>1.1666666666666667</v>
      </c>
      <c r="F72" s="15"/>
      <c r="G72" s="25">
        <f t="shared" si="53"/>
        <v>-1</v>
      </c>
      <c r="H72" s="15">
        <v>0.75</v>
      </c>
      <c r="I72" s="15">
        <v>0.75</v>
      </c>
      <c r="J72" s="25">
        <f t="shared" si="60"/>
        <v>0.39</v>
      </c>
      <c r="K72" s="57">
        <f t="shared" si="61"/>
        <v>0.52</v>
      </c>
      <c r="L72" s="15">
        <v>0.03</v>
      </c>
      <c r="M72" s="15">
        <v>0.2</v>
      </c>
      <c r="N72" s="70">
        <f t="shared" si="62"/>
        <v>0.10089552238805971</v>
      </c>
      <c r="O72" s="53">
        <f t="shared" si="81"/>
        <v>4.9499531379389055</v>
      </c>
      <c r="P72" s="25">
        <f t="shared" si="63"/>
        <v>0.5313181613462904</v>
      </c>
      <c r="Q72" s="15">
        <f t="shared" si="64"/>
        <v>0.94444444444444442</v>
      </c>
      <c r="R72" s="15"/>
      <c r="S72" s="109">
        <v>0.18</v>
      </c>
      <c r="T72" s="70">
        <f>S72</f>
        <v>0.18</v>
      </c>
      <c r="U72" s="15"/>
      <c r="V72" s="15">
        <v>1</v>
      </c>
      <c r="W72" s="25">
        <f>(V72+K72)/2</f>
        <v>0.76</v>
      </c>
      <c r="X72" s="15" t="s">
        <v>225</v>
      </c>
      <c r="Y72" s="15">
        <v>0.1</v>
      </c>
      <c r="Z72" s="25">
        <f t="shared" si="82"/>
        <v>2.6703838395806434</v>
      </c>
      <c r="AA72" s="15">
        <v>38</v>
      </c>
      <c r="AB72" s="15">
        <v>25</v>
      </c>
      <c r="AC72" s="15">
        <v>0.10299999999999999</v>
      </c>
      <c r="AD72" s="75"/>
      <c r="AE72" s="108">
        <v>6.1</v>
      </c>
      <c r="AF72" s="131">
        <f t="shared" si="65"/>
        <v>0.53947659001324522</v>
      </c>
      <c r="AG72" s="79"/>
      <c r="AH72" s="66">
        <v>38</v>
      </c>
      <c r="AI72" s="57">
        <f t="shared" si="66"/>
        <v>9.5637269042332274E-2</v>
      </c>
      <c r="AJ72" s="57">
        <f t="shared" si="67"/>
        <v>0.28229898857640268</v>
      </c>
      <c r="AK72" s="57">
        <f t="shared" si="68"/>
        <v>3.2399999999999998E-2</v>
      </c>
      <c r="AL72" s="53">
        <f t="shared" si="69"/>
        <v>3.2410407842123714</v>
      </c>
      <c r="AM72" s="53">
        <f t="shared" si="70"/>
        <v>37.209999999999994</v>
      </c>
      <c r="AN72" s="80">
        <f t="shared" si="71"/>
        <v>0.61987118823733889</v>
      </c>
      <c r="AO72" s="80">
        <f t="shared" si="72"/>
        <v>1.3611111111111114</v>
      </c>
      <c r="AP72" s="145">
        <f t="shared" si="73"/>
        <v>1.4188234317348347</v>
      </c>
      <c r="AQ72" s="145">
        <f t="shared" si="74"/>
        <v>7.1309498506934599</v>
      </c>
      <c r="AR72" s="100">
        <f t="shared" si="75"/>
        <v>5.4725770618667909E-2</v>
      </c>
      <c r="AS72" s="100">
        <f t="shared" si="76"/>
        <v>1.0608999999999999E-2</v>
      </c>
      <c r="AT72" s="25">
        <f t="shared" si="77"/>
        <v>0.39848862100971782</v>
      </c>
      <c r="AU72" s="25">
        <f t="shared" si="78"/>
        <v>0.5625</v>
      </c>
      <c r="AV72" s="53">
        <f t="shared" si="79"/>
        <v>20.190090131159035</v>
      </c>
      <c r="AW72" s="53">
        <f t="shared" si="80"/>
        <v>1444</v>
      </c>
      <c r="AX72" s="100"/>
      <c r="AY72" s="100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</row>
    <row r="73" spans="1:96" s="70" customFormat="1" ht="14">
      <c r="A73" s="16" t="s">
        <v>71</v>
      </c>
      <c r="B73" s="14">
        <v>4</v>
      </c>
      <c r="C73" s="14">
        <v>4</v>
      </c>
      <c r="D73" s="22" t="s">
        <v>3</v>
      </c>
      <c r="E73" s="15">
        <f t="shared" si="59"/>
        <v>2</v>
      </c>
      <c r="F73" s="15">
        <v>42.4</v>
      </c>
      <c r="G73" s="25">
        <f t="shared" si="53"/>
        <v>2.2591466666666666</v>
      </c>
      <c r="H73" s="15">
        <f t="shared" ref="H73:H79" si="83">(G73+I73)/2</f>
        <v>1.5045733333333333</v>
      </c>
      <c r="I73" s="15">
        <v>0.75</v>
      </c>
      <c r="J73" s="25">
        <f t="shared" si="60"/>
        <v>0.39500000000000002</v>
      </c>
      <c r="K73" s="57">
        <f t="shared" si="61"/>
        <v>0.52666666666666673</v>
      </c>
      <c r="L73" s="15">
        <v>0.11</v>
      </c>
      <c r="M73" s="15">
        <v>0.2</v>
      </c>
      <c r="N73" s="70">
        <f t="shared" si="62"/>
        <v>0.10328358208955224</v>
      </c>
      <c r="O73" s="53">
        <f t="shared" si="81"/>
        <v>71.453519699629794</v>
      </c>
      <c r="P73" s="25">
        <f t="shared" si="63"/>
        <v>3.6807144155470151E-2</v>
      </c>
      <c r="Q73" s="15">
        <f t="shared" si="64"/>
        <v>0.66666666666666674</v>
      </c>
      <c r="R73" s="15">
        <v>55.1</v>
      </c>
      <c r="S73" s="15">
        <v>0.44</v>
      </c>
      <c r="T73" s="15">
        <f>(R73/100+S73)/2</f>
        <v>0.49550000000000005</v>
      </c>
      <c r="U73" s="15">
        <v>0.245</v>
      </c>
      <c r="V73" s="15">
        <v>0.72</v>
      </c>
      <c r="W73" s="15">
        <f>(V73+U73+J73)/3</f>
        <v>0.45333333333333331</v>
      </c>
      <c r="X73" s="15">
        <f>-6/119</f>
        <v>-5.0420168067226892E-2</v>
      </c>
      <c r="Y73" s="15">
        <f>X73</f>
        <v>-5.0420168067226892E-2</v>
      </c>
      <c r="Z73" s="25">
        <f t="shared" si="82"/>
        <v>1.8201922186912765</v>
      </c>
      <c r="AA73" s="15">
        <v>54</v>
      </c>
      <c r="AB73" s="15">
        <v>4.0999999999999996</v>
      </c>
      <c r="AC73" s="15">
        <v>14.712999999999999</v>
      </c>
      <c r="AD73" s="75"/>
      <c r="AE73" s="15">
        <v>6.05</v>
      </c>
      <c r="AF73" s="131">
        <f t="shared" si="65"/>
        <v>2.5473793682142531E-2</v>
      </c>
      <c r="AG73" s="15">
        <v>1</v>
      </c>
      <c r="AH73" s="15">
        <v>34</v>
      </c>
      <c r="AI73" s="57">
        <f t="shared" si="66"/>
        <v>1.6195143428406868E-2</v>
      </c>
      <c r="AJ73" s="57">
        <f t="shared" si="67"/>
        <v>1.3547658608815604E-3</v>
      </c>
      <c r="AK73" s="57">
        <f t="shared" si="68"/>
        <v>0.19359999999999999</v>
      </c>
      <c r="AL73" s="53">
        <f t="shared" si="69"/>
        <v>0.22268322214059441</v>
      </c>
      <c r="AM73" s="53">
        <f t="shared" si="70"/>
        <v>36.602499999999999</v>
      </c>
      <c r="AN73" s="80">
        <f t="shared" si="71"/>
        <v>7.3614288310940301E-2</v>
      </c>
      <c r="AO73" s="80">
        <f t="shared" si="72"/>
        <v>4</v>
      </c>
      <c r="AP73" s="145">
        <f t="shared" si="73"/>
        <v>6.6996077384034861E-2</v>
      </c>
      <c r="AQ73" s="145">
        <f t="shared" si="74"/>
        <v>3.3130997129842714</v>
      </c>
      <c r="AR73" s="100">
        <f t="shared" si="75"/>
        <v>0.54154351195943229</v>
      </c>
      <c r="AS73" s="100">
        <f t="shared" si="76"/>
        <v>216.47236899999999</v>
      </c>
      <c r="AT73" s="25">
        <f t="shared" si="77"/>
        <v>5.5379047572476241E-2</v>
      </c>
      <c r="AU73" s="25">
        <f t="shared" si="78"/>
        <v>2.2637409153777779</v>
      </c>
      <c r="AV73" s="53">
        <f t="shared" si="79"/>
        <v>1.9875857843953881</v>
      </c>
      <c r="AW73" s="53">
        <f t="shared" si="80"/>
        <v>2916</v>
      </c>
      <c r="AX73" s="100">
        <f>P73*R73</f>
        <v>2.0280736429664055</v>
      </c>
      <c r="AY73" s="100">
        <f>R73*R73</f>
        <v>3036.01</v>
      </c>
    </row>
    <row r="74" spans="1:96" s="13" customFormat="1" ht="14">
      <c r="A74" s="16" t="s">
        <v>72</v>
      </c>
      <c r="B74" s="14">
        <v>5</v>
      </c>
      <c r="C74" s="14">
        <v>5</v>
      </c>
      <c r="D74" s="22" t="s">
        <v>3</v>
      </c>
      <c r="E74" s="15">
        <f t="shared" si="59"/>
        <v>2.333333333333333</v>
      </c>
      <c r="F74" s="15">
        <v>30.3</v>
      </c>
      <c r="G74" s="25">
        <f t="shared" si="53"/>
        <v>1.3290600000000001</v>
      </c>
      <c r="H74" s="15">
        <f t="shared" si="83"/>
        <v>1.0395300000000001</v>
      </c>
      <c r="I74" s="15">
        <v>0.75</v>
      </c>
      <c r="J74" s="25">
        <f t="shared" si="60"/>
        <v>0.72099999999999997</v>
      </c>
      <c r="K74" s="57">
        <f t="shared" si="61"/>
        <v>0.96133333333333326</v>
      </c>
      <c r="L74" s="15">
        <v>7.0000000000000007E-2</v>
      </c>
      <c r="M74" s="15">
        <v>0.2</v>
      </c>
      <c r="N74" s="70">
        <f t="shared" si="62"/>
        <v>0.10208955223880598</v>
      </c>
      <c r="O74" s="53">
        <f t="shared" si="81"/>
        <v>135.218240078863</v>
      </c>
      <c r="P74" s="25">
        <f t="shared" si="63"/>
        <v>1.9450038681660932E-2</v>
      </c>
      <c r="Q74" s="15">
        <f t="shared" si="64"/>
        <v>0.55555555555555558</v>
      </c>
      <c r="R74" s="15">
        <v>39.4</v>
      </c>
      <c r="S74" s="15">
        <v>0.66</v>
      </c>
      <c r="T74" s="15">
        <f>(R74/100+S74)/2</f>
        <v>0.52700000000000002</v>
      </c>
      <c r="U74" s="15"/>
      <c r="V74" s="15">
        <v>0.6</v>
      </c>
      <c r="W74" s="25">
        <f>(V74+K74)/2</f>
        <v>0.78066666666666662</v>
      </c>
      <c r="X74" s="15">
        <f>13/111</f>
        <v>0.11711711711711711</v>
      </c>
      <c r="Y74" s="15">
        <f>X74</f>
        <v>0.11711711711711711</v>
      </c>
      <c r="Z74" s="25">
        <f t="shared" si="82"/>
        <v>2.206806717797209</v>
      </c>
      <c r="AA74" s="15">
        <v>47</v>
      </c>
      <c r="AB74" s="15"/>
      <c r="AC74" s="15">
        <v>10.217000000000001</v>
      </c>
      <c r="AD74" s="75"/>
      <c r="AE74" s="15">
        <v>2.79</v>
      </c>
      <c r="AF74" s="131">
        <f t="shared" si="65"/>
        <v>1.6320333089013275E-2</v>
      </c>
      <c r="AG74" s="15">
        <v>1</v>
      </c>
      <c r="AH74" s="15">
        <v>58</v>
      </c>
      <c r="AI74" s="57">
        <f t="shared" si="66"/>
        <v>1.2837025529896216E-2</v>
      </c>
      <c r="AJ74" s="57">
        <f t="shared" si="67"/>
        <v>3.7830400471810654E-4</v>
      </c>
      <c r="AK74" s="57">
        <f t="shared" si="68"/>
        <v>0.43560000000000004</v>
      </c>
      <c r="AL74" s="53">
        <f t="shared" si="69"/>
        <v>5.4265607921833998E-2</v>
      </c>
      <c r="AM74" s="53">
        <f t="shared" si="70"/>
        <v>7.7841000000000005</v>
      </c>
      <c r="AN74" s="80">
        <f t="shared" si="71"/>
        <v>4.538342359054217E-2</v>
      </c>
      <c r="AO74" s="80">
        <f t="shared" si="72"/>
        <v>5.4444444444444429</v>
      </c>
      <c r="AP74" s="145">
        <f t="shared" si="73"/>
        <v>4.2922476024104914E-2</v>
      </c>
      <c r="AQ74" s="145">
        <f t="shared" si="74"/>
        <v>4.8699958897148905</v>
      </c>
      <c r="AR74" s="100">
        <f t="shared" si="75"/>
        <v>0.19872104521052975</v>
      </c>
      <c r="AS74" s="100">
        <f t="shared" si="76"/>
        <v>104.38708900000002</v>
      </c>
      <c r="AT74" s="25">
        <f t="shared" si="77"/>
        <v>2.0218898710746992E-2</v>
      </c>
      <c r="AU74" s="25">
        <f t="shared" si="78"/>
        <v>1.0806226209000001</v>
      </c>
      <c r="AV74" s="53">
        <f t="shared" si="79"/>
        <v>0.91415181803806378</v>
      </c>
      <c r="AW74" s="53">
        <f t="shared" si="80"/>
        <v>2209</v>
      </c>
      <c r="AX74" s="100">
        <f>P74*R74</f>
        <v>0.76633152405744065</v>
      </c>
      <c r="AY74" s="100">
        <f>R74*R74</f>
        <v>1552.36</v>
      </c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</row>
    <row r="75" spans="1:96" s="13" customFormat="1" ht="14">
      <c r="A75" s="16" t="s">
        <v>73</v>
      </c>
      <c r="B75" s="14">
        <v>4</v>
      </c>
      <c r="C75" s="14">
        <v>4</v>
      </c>
      <c r="D75" s="22" t="s">
        <v>3</v>
      </c>
      <c r="E75" s="15">
        <f t="shared" si="59"/>
        <v>2</v>
      </c>
      <c r="F75" s="15">
        <v>28</v>
      </c>
      <c r="G75" s="25">
        <f t="shared" si="53"/>
        <v>1.1522666666666668</v>
      </c>
      <c r="H75" s="15">
        <f t="shared" si="83"/>
        <v>0.95113333333333339</v>
      </c>
      <c r="I75" s="15">
        <v>0.75</v>
      </c>
      <c r="J75" s="25">
        <f t="shared" si="60"/>
        <v>0.80099999999999993</v>
      </c>
      <c r="K75" s="57">
        <f t="shared" si="61"/>
        <v>1.0679999999999998</v>
      </c>
      <c r="L75" s="15">
        <v>0.04</v>
      </c>
      <c r="M75" s="15">
        <v>0.2</v>
      </c>
      <c r="N75" s="70">
        <f t="shared" si="62"/>
        <v>0.10119402985074627</v>
      </c>
      <c r="O75" s="53">
        <f t="shared" si="81"/>
        <v>69.453309869173054</v>
      </c>
      <c r="P75" s="25">
        <f t="shared" si="63"/>
        <v>3.7867165797483886E-2</v>
      </c>
      <c r="Q75" s="15">
        <f t="shared" si="64"/>
        <v>0.66666666666666674</v>
      </c>
      <c r="R75" s="15"/>
      <c r="S75" s="15">
        <v>0.71099999999999997</v>
      </c>
      <c r="T75" s="70">
        <f>S75</f>
        <v>0.71099999999999997</v>
      </c>
      <c r="U75" s="15"/>
      <c r="V75" s="15">
        <v>0.52</v>
      </c>
      <c r="W75" s="25">
        <f>(V75+K75)/2</f>
        <v>0.79399999999999993</v>
      </c>
      <c r="X75" s="15" t="s">
        <v>225</v>
      </c>
      <c r="Y75" s="15">
        <v>0.3</v>
      </c>
      <c r="Z75" s="25">
        <f t="shared" si="82"/>
        <v>3.3312024447513235</v>
      </c>
      <c r="AA75" s="15" t="s">
        <v>223</v>
      </c>
      <c r="AB75" s="15"/>
      <c r="AC75" s="15">
        <v>1.53</v>
      </c>
      <c r="AD75" s="75"/>
      <c r="AE75" s="15">
        <v>1.99</v>
      </c>
      <c r="AF75" s="131">
        <f t="shared" si="65"/>
        <v>4.7963192121818259E-2</v>
      </c>
      <c r="AG75" s="15">
        <v>1</v>
      </c>
      <c r="AH75" s="15">
        <v>58</v>
      </c>
      <c r="AI75" s="57">
        <f t="shared" si="66"/>
        <v>2.6923554882011043E-2</v>
      </c>
      <c r="AJ75" s="57">
        <f t="shared" si="67"/>
        <v>1.4339222455341334E-3</v>
      </c>
      <c r="AK75" s="57">
        <f t="shared" si="68"/>
        <v>0.505521</v>
      </c>
      <c r="AL75" s="53">
        <f t="shared" si="69"/>
        <v>7.5355659936992933E-2</v>
      </c>
      <c r="AM75" s="53">
        <f t="shared" si="70"/>
        <v>3.9601000000000002</v>
      </c>
      <c r="AN75" s="80">
        <f t="shared" si="71"/>
        <v>7.5734331594967771E-2</v>
      </c>
      <c r="AO75" s="80">
        <f t="shared" si="72"/>
        <v>4</v>
      </c>
      <c r="AP75" s="145">
        <f t="shared" si="73"/>
        <v>0.12614319528038201</v>
      </c>
      <c r="AQ75" s="145">
        <f t="shared" si="74"/>
        <v>11.096909727917195</v>
      </c>
      <c r="AR75" s="100">
        <f t="shared" si="75"/>
        <v>5.7936763670150347E-2</v>
      </c>
      <c r="AS75" s="100">
        <f t="shared" si="76"/>
        <v>2.3409</v>
      </c>
      <c r="AT75" s="25">
        <f t="shared" si="77"/>
        <v>3.6016723628846843E-2</v>
      </c>
      <c r="AU75" s="25">
        <f t="shared" si="78"/>
        <v>0.90465461777777789</v>
      </c>
      <c r="AV75" s="147"/>
      <c r="AW75" s="147"/>
      <c r="AX75" s="158"/>
      <c r="AY75" s="158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</row>
    <row r="76" spans="1:96" s="13" customFormat="1" ht="14">
      <c r="A76" s="16" t="s">
        <v>74</v>
      </c>
      <c r="B76" s="14">
        <v>2</v>
      </c>
      <c r="C76" s="14">
        <v>3</v>
      </c>
      <c r="D76" s="22" t="s">
        <v>8</v>
      </c>
      <c r="E76" s="15">
        <f t="shared" si="59"/>
        <v>1.5</v>
      </c>
      <c r="F76" s="15">
        <v>33.799999999999997</v>
      </c>
      <c r="G76" s="25">
        <f t="shared" si="53"/>
        <v>1.5980933333333329</v>
      </c>
      <c r="H76" s="15">
        <f t="shared" si="83"/>
        <v>1.1740466666666665</v>
      </c>
      <c r="I76" s="15">
        <v>0.75</v>
      </c>
      <c r="J76" s="25">
        <f t="shared" si="60"/>
        <v>0.39500000000000002</v>
      </c>
      <c r="K76" s="57">
        <f t="shared" si="61"/>
        <v>0.52666666666666673</v>
      </c>
      <c r="L76" s="15">
        <v>7.0000000000000007E-2</v>
      </c>
      <c r="M76" s="15">
        <v>0.2</v>
      </c>
      <c r="N76" s="70">
        <f t="shared" si="62"/>
        <v>0.10208955223880598</v>
      </c>
      <c r="O76" s="53">
        <f t="shared" si="81"/>
        <v>14.942422697297097</v>
      </c>
      <c r="P76" s="25">
        <f t="shared" si="63"/>
        <v>0.17600894133959516</v>
      </c>
      <c r="Q76" s="15">
        <f t="shared" si="64"/>
        <v>0.83333333333333337</v>
      </c>
      <c r="R76" s="15">
        <v>43.2</v>
      </c>
      <c r="S76" s="15">
        <v>0.38900000000000001</v>
      </c>
      <c r="T76" s="15">
        <f t="shared" ref="T76:T83" si="84">(R76/100+S76)/2</f>
        <v>0.41050000000000003</v>
      </c>
      <c r="U76" s="15">
        <v>0.56999999999999995</v>
      </c>
      <c r="V76" s="15">
        <v>0.47</v>
      </c>
      <c r="W76" s="15">
        <f>(V76+U76+J76)/3</f>
        <v>0.47833333333333333</v>
      </c>
      <c r="X76" s="15" t="s">
        <v>225</v>
      </c>
      <c r="Y76" s="15">
        <v>0.1</v>
      </c>
      <c r="Z76" s="25">
        <f t="shared" si="82"/>
        <v>2.2796633482265425</v>
      </c>
      <c r="AA76" s="15" t="s">
        <v>223</v>
      </c>
      <c r="AB76" s="15">
        <v>11</v>
      </c>
      <c r="AC76" s="15">
        <v>0.78400000000000003</v>
      </c>
      <c r="AD76" s="75"/>
      <c r="AE76" s="15">
        <v>6.05</v>
      </c>
      <c r="AF76" s="131">
        <f t="shared" si="65"/>
        <v>0.15256316826312952</v>
      </c>
      <c r="AG76" s="39">
        <v>1</v>
      </c>
      <c r="AH76" s="39">
        <v>58</v>
      </c>
      <c r="AI76" s="57">
        <f t="shared" si="66"/>
        <v>6.846747818110252E-2</v>
      </c>
      <c r="AJ76" s="57">
        <f t="shared" si="67"/>
        <v>3.0979147431485051E-2</v>
      </c>
      <c r="AK76" s="57">
        <f t="shared" si="68"/>
        <v>0.15132100000000001</v>
      </c>
      <c r="AL76" s="53">
        <f t="shared" si="69"/>
        <v>1.0648540951045506</v>
      </c>
      <c r="AM76" s="53">
        <f t="shared" si="70"/>
        <v>36.602499999999999</v>
      </c>
      <c r="AN76" s="80">
        <f t="shared" si="71"/>
        <v>0.26401341200939277</v>
      </c>
      <c r="AO76" s="80">
        <f t="shared" si="72"/>
        <v>2.25</v>
      </c>
      <c r="AP76" s="145">
        <f t="shared" si="73"/>
        <v>0.40124113253203059</v>
      </c>
      <c r="AQ76" s="145">
        <f t="shared" si="74"/>
        <v>5.1968649812474501</v>
      </c>
      <c r="AR76" s="100">
        <f t="shared" si="75"/>
        <v>0.13799101001024261</v>
      </c>
      <c r="AS76" s="100">
        <f t="shared" si="76"/>
        <v>0.61465600000000009</v>
      </c>
      <c r="AT76" s="25">
        <f t="shared" si="77"/>
        <v>0.20664271088328054</v>
      </c>
      <c r="AU76" s="25">
        <f t="shared" si="78"/>
        <v>1.3783855755111105</v>
      </c>
      <c r="AV76" s="53"/>
      <c r="AW76" s="53"/>
      <c r="AX76" s="100">
        <f t="shared" ref="AX76:AX83" si="85">P76*R76</f>
        <v>7.6035862658705113</v>
      </c>
      <c r="AY76" s="100">
        <f t="shared" ref="AY76:AY83" si="86">R76*R76</f>
        <v>1866.2400000000002</v>
      </c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</row>
    <row r="77" spans="1:96" s="25" customFormat="1" ht="14">
      <c r="A77" s="42" t="s">
        <v>75</v>
      </c>
      <c r="B77" s="43">
        <v>4</v>
      </c>
      <c r="C77" s="43">
        <v>5</v>
      </c>
      <c r="D77" s="44" t="s">
        <v>3</v>
      </c>
      <c r="E77" s="45">
        <f t="shared" si="59"/>
        <v>2.166666666666667</v>
      </c>
      <c r="F77" s="45">
        <v>47.7</v>
      </c>
      <c r="G77" s="45">
        <f t="shared" si="53"/>
        <v>2.6665400000000004</v>
      </c>
      <c r="H77" s="45">
        <f t="shared" si="83"/>
        <v>1.7082700000000002</v>
      </c>
      <c r="I77" s="45">
        <v>0.75</v>
      </c>
      <c r="J77" s="45">
        <f t="shared" si="60"/>
        <v>0.6</v>
      </c>
      <c r="K77" s="45">
        <f t="shared" si="61"/>
        <v>0.79999999999999993</v>
      </c>
      <c r="L77" s="45">
        <v>0.06</v>
      </c>
      <c r="M77" s="45">
        <v>0.2</v>
      </c>
      <c r="N77" s="45">
        <f t="shared" si="62"/>
        <v>0.1017910447761194</v>
      </c>
      <c r="O77" s="45">
        <f t="shared" si="81"/>
        <v>285.75427513963666</v>
      </c>
      <c r="P77" s="45">
        <f t="shared" si="63"/>
        <v>9.20371182098614E-3</v>
      </c>
      <c r="Q77" s="45">
        <f t="shared" si="64"/>
        <v>0.61111111111111094</v>
      </c>
      <c r="R77" s="45">
        <v>59.2</v>
      </c>
      <c r="S77" s="45">
        <f>1-0.404</f>
        <v>0.59599999999999997</v>
      </c>
      <c r="T77" s="45">
        <f t="shared" si="84"/>
        <v>0.59400000000000008</v>
      </c>
      <c r="U77" s="45"/>
      <c r="V77" s="45">
        <v>0.39</v>
      </c>
      <c r="W77" s="25">
        <f>(V77+K77)/2</f>
        <v>0.59499999999999997</v>
      </c>
      <c r="X77" s="45">
        <f>16/104</f>
        <v>0.15384615384615385</v>
      </c>
      <c r="Y77" s="45">
        <f t="shared" ref="Y77:Y82" si="87">X77</f>
        <v>0.15384615384615385</v>
      </c>
      <c r="Z77" s="45">
        <f t="shared" si="82"/>
        <v>2.271926625284701</v>
      </c>
      <c r="AA77" s="45">
        <v>80</v>
      </c>
      <c r="AB77" s="45">
        <v>40.6</v>
      </c>
      <c r="AC77" s="45">
        <v>9.6999999999999993</v>
      </c>
      <c r="AD77" s="45"/>
      <c r="AE77" s="45">
        <v>4</v>
      </c>
      <c r="AF77" s="131">
        <f t="shared" si="65"/>
        <v>7.9506303945041639E-3</v>
      </c>
      <c r="AG77" s="45">
        <v>1</v>
      </c>
      <c r="AH77" s="45">
        <v>38</v>
      </c>
      <c r="AI77" s="57">
        <f t="shared" si="66"/>
        <v>5.4854122453077388E-3</v>
      </c>
      <c r="AJ77" s="57">
        <f t="shared" si="67"/>
        <v>8.4708311283760015E-5</v>
      </c>
      <c r="AK77" s="57">
        <f t="shared" si="68"/>
        <v>0.35521599999999998</v>
      </c>
      <c r="AL77" s="53">
        <f t="shared" si="69"/>
        <v>3.681484728394456E-2</v>
      </c>
      <c r="AM77" s="53">
        <f t="shared" si="70"/>
        <v>16</v>
      </c>
      <c r="AN77" s="80">
        <f t="shared" si="71"/>
        <v>1.9941375612136641E-2</v>
      </c>
      <c r="AO77" s="80">
        <f t="shared" si="72"/>
        <v>4.6944444444444455</v>
      </c>
      <c r="AP77" s="145">
        <f t="shared" si="73"/>
        <v>2.0910157937545953E-2</v>
      </c>
      <c r="AQ77" s="145">
        <f t="shared" si="74"/>
        <v>5.1616505906775298</v>
      </c>
      <c r="AR77" s="100">
        <f t="shared" si="75"/>
        <v>8.9276004663565556E-2</v>
      </c>
      <c r="AS77" s="100">
        <f t="shared" si="76"/>
        <v>94.089999999999989</v>
      </c>
      <c r="AT77" s="25">
        <f t="shared" si="77"/>
        <v>1.5722424792435994E-2</v>
      </c>
      <c r="AU77" s="25">
        <f t="shared" si="78"/>
        <v>2.9181863929000005</v>
      </c>
      <c r="AV77" s="53">
        <f>AA77*P77</f>
        <v>0.73629694567889126</v>
      </c>
      <c r="AW77" s="53">
        <f>AA77^2</f>
        <v>6400</v>
      </c>
      <c r="AX77" s="100">
        <f t="shared" si="85"/>
        <v>0.54485973980237956</v>
      </c>
      <c r="AY77" s="100">
        <f t="shared" si="86"/>
        <v>3504.6400000000003</v>
      </c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</row>
    <row r="78" spans="1:96" s="13" customFormat="1" ht="14">
      <c r="A78" s="16" t="s">
        <v>76</v>
      </c>
      <c r="B78" s="14">
        <v>4</v>
      </c>
      <c r="C78" s="14">
        <v>4</v>
      </c>
      <c r="D78" s="22" t="s">
        <v>3</v>
      </c>
      <c r="E78" s="15">
        <f t="shared" si="59"/>
        <v>2</v>
      </c>
      <c r="F78" s="15">
        <v>43.8</v>
      </c>
      <c r="G78" s="25">
        <f t="shared" si="53"/>
        <v>2.3667599999999998</v>
      </c>
      <c r="H78" s="15">
        <f t="shared" si="83"/>
        <v>1.5583799999999999</v>
      </c>
      <c r="I78" s="15">
        <v>0.75</v>
      </c>
      <c r="J78" s="25">
        <f t="shared" si="60"/>
        <v>0.42400000000000004</v>
      </c>
      <c r="K78" s="57">
        <f t="shared" si="61"/>
        <v>0.56533333333333335</v>
      </c>
      <c r="L78" s="15">
        <v>0.08</v>
      </c>
      <c r="M78" s="15">
        <v>0.2</v>
      </c>
      <c r="N78" s="70">
        <f t="shared" si="62"/>
        <v>0.10238805970149255</v>
      </c>
      <c r="O78" s="53">
        <f t="shared" si="81"/>
        <v>85.815769736631452</v>
      </c>
      <c r="P78" s="25">
        <f t="shared" si="63"/>
        <v>3.0647047833649552E-2</v>
      </c>
      <c r="Q78" s="15">
        <f t="shared" si="64"/>
        <v>0.66666666666666674</v>
      </c>
      <c r="R78" s="15">
        <v>57.7</v>
      </c>
      <c r="S78" s="15">
        <v>0.39600000000000002</v>
      </c>
      <c r="T78" s="15">
        <f t="shared" si="84"/>
        <v>0.48650000000000004</v>
      </c>
      <c r="U78" s="15">
        <v>0.29599999999999999</v>
      </c>
      <c r="V78" s="15">
        <v>0.65</v>
      </c>
      <c r="W78" s="15">
        <f t="shared" ref="W78:W83" si="88">(V78+U78+J78)/3</f>
        <v>0.45666666666666672</v>
      </c>
      <c r="X78" s="15">
        <f>-3/119</f>
        <v>-2.5210084033613446E-2</v>
      </c>
      <c r="Y78" s="15">
        <f t="shared" si="87"/>
        <v>-2.5210084033613446E-2</v>
      </c>
      <c r="Z78" s="25">
        <f t="shared" si="82"/>
        <v>1.8440625678971865</v>
      </c>
      <c r="AA78" s="15">
        <v>65</v>
      </c>
      <c r="AB78" s="15">
        <v>4.8</v>
      </c>
      <c r="AC78" s="15">
        <v>8.2149999999999999</v>
      </c>
      <c r="AD78" s="75"/>
      <c r="AE78" s="15">
        <v>5.76</v>
      </c>
      <c r="AF78" s="131">
        <f t="shared" si="65"/>
        <v>2.1488621188816618E-2</v>
      </c>
      <c r="AG78" s="53">
        <v>1</v>
      </c>
      <c r="AH78" s="53">
        <v>38</v>
      </c>
      <c r="AI78" s="57">
        <f t="shared" si="66"/>
        <v>1.2136230942125223E-2</v>
      </c>
      <c r="AJ78" s="57">
        <f t="shared" si="67"/>
        <v>9.392415409180037E-4</v>
      </c>
      <c r="AK78" s="57">
        <f t="shared" si="68"/>
        <v>0.15681600000000001</v>
      </c>
      <c r="AL78" s="53">
        <f t="shared" si="69"/>
        <v>0.17652699552182141</v>
      </c>
      <c r="AM78" s="53">
        <f t="shared" si="70"/>
        <v>33.177599999999998</v>
      </c>
      <c r="AN78" s="80">
        <f t="shared" si="71"/>
        <v>6.1294095667299105E-2</v>
      </c>
      <c r="AO78" s="80">
        <f t="shared" si="72"/>
        <v>4</v>
      </c>
      <c r="AP78" s="145">
        <f t="shared" si="73"/>
        <v>5.6515073726587699E-2</v>
      </c>
      <c r="AQ78" s="145">
        <f t="shared" si="74"/>
        <v>3.4005667543195655</v>
      </c>
      <c r="AR78" s="100">
        <f t="shared" si="75"/>
        <v>0.25176549795343106</v>
      </c>
      <c r="AS78" s="100">
        <f t="shared" si="76"/>
        <v>67.486225000000005</v>
      </c>
      <c r="AT78" s="25">
        <f t="shared" si="77"/>
        <v>4.7759746403002783E-2</v>
      </c>
      <c r="AU78" s="25">
        <f t="shared" si="78"/>
        <v>2.4285482243999996</v>
      </c>
      <c r="AV78" s="53">
        <f>AA78*P78</f>
        <v>1.9920581091872209</v>
      </c>
      <c r="AW78" s="53">
        <f>AA78^2</f>
        <v>4225</v>
      </c>
      <c r="AX78" s="100">
        <f t="shared" si="85"/>
        <v>1.7683346600015792</v>
      </c>
      <c r="AY78" s="100">
        <f t="shared" si="86"/>
        <v>3329.2900000000004</v>
      </c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</row>
    <row r="79" spans="1:96" s="39" customFormat="1" ht="14">
      <c r="A79" s="46" t="s">
        <v>77</v>
      </c>
      <c r="B79" s="47">
        <v>1</v>
      </c>
      <c r="C79" s="47">
        <v>1</v>
      </c>
      <c r="D79" s="48" t="s">
        <v>8</v>
      </c>
      <c r="E79" s="49">
        <f t="shared" si="59"/>
        <v>1</v>
      </c>
      <c r="F79" s="49">
        <v>22.6</v>
      </c>
      <c r="G79" s="49">
        <f t="shared" si="53"/>
        <v>0.73718666666666688</v>
      </c>
      <c r="H79" s="49">
        <f t="shared" si="83"/>
        <v>0.86859333333333344</v>
      </c>
      <c r="I79" s="106">
        <v>1</v>
      </c>
      <c r="J79" s="49">
        <f t="shared" si="60"/>
        <v>0.27900000000000003</v>
      </c>
      <c r="K79" s="49">
        <f t="shared" si="61"/>
        <v>0.37200000000000005</v>
      </c>
      <c r="L79" s="49">
        <v>0.44</v>
      </c>
      <c r="M79" s="49">
        <v>0.4</v>
      </c>
      <c r="N79" s="49">
        <f t="shared" si="62"/>
        <v>0.21313432835820897</v>
      </c>
      <c r="O79" s="49">
        <f t="shared" si="81"/>
        <v>4.279035619643369</v>
      </c>
      <c r="P79" s="49">
        <f t="shared" si="63"/>
        <v>0.61462447003869392</v>
      </c>
      <c r="Q79" s="49">
        <f t="shared" si="64"/>
        <v>1</v>
      </c>
      <c r="R79" s="49">
        <v>24.7</v>
      </c>
      <c r="S79" s="49">
        <f>1-0.805</f>
        <v>0.19499999999999995</v>
      </c>
      <c r="T79" s="49">
        <f t="shared" si="84"/>
        <v>0.22099999999999997</v>
      </c>
      <c r="U79" s="49">
        <v>0.82599999999999996</v>
      </c>
      <c r="V79" s="49">
        <v>0.86</v>
      </c>
      <c r="W79" s="49">
        <f t="shared" si="88"/>
        <v>0.65499999999999992</v>
      </c>
      <c r="X79" s="49">
        <f>-9/97</f>
        <v>-9.2783505154639179E-2</v>
      </c>
      <c r="Y79" s="49">
        <f t="shared" si="87"/>
        <v>-9.2783505154639179E-2</v>
      </c>
      <c r="Z79" s="49">
        <f t="shared" si="82"/>
        <v>2.1885002564846596</v>
      </c>
      <c r="AA79" s="49">
        <v>13.9</v>
      </c>
      <c r="AB79" s="49">
        <v>10.9</v>
      </c>
      <c r="AC79" s="49">
        <v>9.9849999999999994</v>
      </c>
      <c r="AD79" s="49"/>
      <c r="AE79" s="49">
        <v>7.21</v>
      </c>
      <c r="AF79" s="131">
        <f t="shared" si="65"/>
        <v>0.51144707616784402</v>
      </c>
      <c r="AG79" s="49">
        <v>1</v>
      </c>
      <c r="AH79" s="49">
        <v>27</v>
      </c>
      <c r="AI79" s="57">
        <f t="shared" si="66"/>
        <v>0.11985177165754528</v>
      </c>
      <c r="AJ79" s="57">
        <f t="shared" si="67"/>
        <v>0.37776323917034538</v>
      </c>
      <c r="AK79" s="57">
        <f t="shared" si="68"/>
        <v>3.8024999999999982E-2</v>
      </c>
      <c r="AL79" s="53">
        <f t="shared" si="69"/>
        <v>4.4314424289789835</v>
      </c>
      <c r="AM79" s="53">
        <f t="shared" si="70"/>
        <v>51.984099999999998</v>
      </c>
      <c r="AN79" s="80">
        <f t="shared" si="71"/>
        <v>0.61462447003869392</v>
      </c>
      <c r="AO79" s="80">
        <f t="shared" si="72"/>
        <v>1</v>
      </c>
      <c r="AP79" s="145">
        <f t="shared" si="73"/>
        <v>1.3451058103214297</v>
      </c>
      <c r="AQ79" s="145">
        <f t="shared" si="74"/>
        <v>4.7895333726334206</v>
      </c>
      <c r="AR79" s="100">
        <f t="shared" si="75"/>
        <v>6.137025333336358</v>
      </c>
      <c r="AS79" s="100">
        <f t="shared" si="76"/>
        <v>99.700224999999989</v>
      </c>
      <c r="AT79" s="25">
        <f t="shared" si="77"/>
        <v>0.53385871717914268</v>
      </c>
      <c r="AU79" s="25">
        <f t="shared" si="78"/>
        <v>0.75445437871111132</v>
      </c>
      <c r="AV79" s="53">
        <f>AA79*P79</f>
        <v>8.543280133537845</v>
      </c>
      <c r="AW79" s="53">
        <f>AA79^2</f>
        <v>193.21</v>
      </c>
      <c r="AX79" s="100">
        <f t="shared" si="85"/>
        <v>15.181224409955739</v>
      </c>
      <c r="AY79" s="100">
        <f t="shared" si="86"/>
        <v>610.08999999999992</v>
      </c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</row>
    <row r="80" spans="1:96" s="70" customFormat="1" ht="14">
      <c r="A80" s="67" t="s">
        <v>78</v>
      </c>
      <c r="B80" s="68">
        <v>1</v>
      </c>
      <c r="C80" s="68">
        <v>1</v>
      </c>
      <c r="D80" s="69" t="s">
        <v>8</v>
      </c>
      <c r="E80" s="70">
        <f t="shared" si="59"/>
        <v>1</v>
      </c>
      <c r="G80" s="25">
        <f t="shared" si="53"/>
        <v>-1</v>
      </c>
      <c r="H80" s="70">
        <v>0.67</v>
      </c>
      <c r="I80" s="70">
        <v>0.67</v>
      </c>
      <c r="J80" s="25">
        <f t="shared" si="60"/>
        <v>3.499999999999992E-2</v>
      </c>
      <c r="K80" s="57">
        <f t="shared" si="61"/>
        <v>4.6666666666666558E-2</v>
      </c>
      <c r="L80" s="70">
        <v>0.08</v>
      </c>
      <c r="M80" s="70">
        <v>0.2</v>
      </c>
      <c r="N80" s="70">
        <f t="shared" si="62"/>
        <v>0.10238805970149255</v>
      </c>
      <c r="O80" s="53">
        <f t="shared" si="81"/>
        <v>2.2683546079790906</v>
      </c>
      <c r="P80" s="25">
        <f t="shared" si="63"/>
        <v>1.1594307127945505</v>
      </c>
      <c r="Q80" s="70">
        <f t="shared" si="64"/>
        <v>1</v>
      </c>
      <c r="R80" s="70">
        <v>28</v>
      </c>
      <c r="S80" s="70">
        <f>1-0.869</f>
        <v>0.13100000000000001</v>
      </c>
      <c r="T80" s="70">
        <f t="shared" si="84"/>
        <v>0.20550000000000002</v>
      </c>
      <c r="U80" s="70">
        <v>1.3</v>
      </c>
      <c r="V80" s="70">
        <v>0.76</v>
      </c>
      <c r="W80" s="70">
        <f t="shared" si="88"/>
        <v>0.69833333333333325</v>
      </c>
      <c r="X80" s="70">
        <f>-59/101</f>
        <v>-0.58415841584158412</v>
      </c>
      <c r="Y80" s="70">
        <f t="shared" si="87"/>
        <v>-0.58415841584158412</v>
      </c>
      <c r="Z80" s="25">
        <f t="shared" si="82"/>
        <v>1.3766801569467531</v>
      </c>
      <c r="AA80" s="70" t="s">
        <v>223</v>
      </c>
      <c r="AB80" s="70">
        <v>6</v>
      </c>
      <c r="AC80" s="70">
        <v>0.31900000000000001</v>
      </c>
      <c r="AD80" s="75"/>
      <c r="AE80" s="70">
        <v>9.65</v>
      </c>
      <c r="AF80" s="131">
        <f t="shared" si="65"/>
        <v>0.60690694131516632</v>
      </c>
      <c r="AG80" s="57">
        <v>1</v>
      </c>
      <c r="AH80" s="57">
        <v>21</v>
      </c>
      <c r="AI80" s="57">
        <f t="shared" si="66"/>
        <v>0.15188542337608613</v>
      </c>
      <c r="AJ80" s="57">
        <f t="shared" si="67"/>
        <v>1.3442795777712793</v>
      </c>
      <c r="AK80" s="57">
        <f t="shared" si="68"/>
        <v>1.7161000000000003E-2</v>
      </c>
      <c r="AL80" s="53">
        <f t="shared" si="69"/>
        <v>11.188506378467412</v>
      </c>
      <c r="AM80" s="53">
        <f t="shared" si="70"/>
        <v>93.122500000000002</v>
      </c>
      <c r="AN80" s="80">
        <f t="shared" si="71"/>
        <v>1.1594307127945505</v>
      </c>
      <c r="AO80" s="80">
        <f t="shared" si="72"/>
        <v>1</v>
      </c>
      <c r="AP80" s="145">
        <f t="shared" si="73"/>
        <v>1.5961652556588874</v>
      </c>
      <c r="AQ80" s="145">
        <f t="shared" si="74"/>
        <v>1.8952482545309366</v>
      </c>
      <c r="AR80" s="100">
        <f t="shared" si="75"/>
        <v>0.36985839738146159</v>
      </c>
      <c r="AS80" s="100">
        <f t="shared" si="76"/>
        <v>0.101761</v>
      </c>
      <c r="AT80" s="25">
        <f t="shared" si="77"/>
        <v>0.77681857757234885</v>
      </c>
      <c r="AU80" s="25">
        <f t="shared" si="78"/>
        <v>0.44890000000000008</v>
      </c>
      <c r="AV80" s="53"/>
      <c r="AW80" s="53"/>
      <c r="AX80" s="100">
        <f t="shared" si="85"/>
        <v>32.464059958247411</v>
      </c>
      <c r="AY80" s="100">
        <f t="shared" si="86"/>
        <v>784</v>
      </c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</row>
    <row r="81" spans="1:96" s="133" customFormat="1" ht="14">
      <c r="A81" s="102" t="s">
        <v>79</v>
      </c>
      <c r="B81" s="103">
        <v>2</v>
      </c>
      <c r="C81" s="103">
        <v>3</v>
      </c>
      <c r="D81" s="104" t="s">
        <v>8</v>
      </c>
      <c r="E81" s="105">
        <f t="shared" si="59"/>
        <v>1.5</v>
      </c>
      <c r="F81" s="105">
        <v>31.1</v>
      </c>
      <c r="G81" s="105">
        <f>16/15-1</f>
        <v>6.6666666666666652E-2</v>
      </c>
      <c r="H81" s="105">
        <f t="shared" ref="H81:H92" si="89">(G81+I81)/2</f>
        <v>0.53333333333333333</v>
      </c>
      <c r="I81" s="105">
        <v>1</v>
      </c>
      <c r="J81" s="105">
        <f t="shared" si="60"/>
        <v>0.27200000000000002</v>
      </c>
      <c r="K81" s="57">
        <f t="shared" si="61"/>
        <v>0.36266666666666669</v>
      </c>
      <c r="L81" s="105">
        <v>2.34</v>
      </c>
      <c r="M81" s="105">
        <v>0.6</v>
      </c>
      <c r="N81" s="70">
        <f t="shared" si="62"/>
        <v>0.36985074626865672</v>
      </c>
      <c r="O81" s="105">
        <f t="shared" si="81"/>
        <v>6.6777167111017057</v>
      </c>
      <c r="P81" s="105">
        <f t="shared" si="63"/>
        <v>0.39384719564812087</v>
      </c>
      <c r="Q81" s="105">
        <f t="shared" si="64"/>
        <v>0.83333333333333337</v>
      </c>
      <c r="R81" s="105">
        <v>36.799999999999997</v>
      </c>
      <c r="S81" s="101">
        <v>0.48099999999999998</v>
      </c>
      <c r="T81" s="105">
        <f t="shared" si="84"/>
        <v>0.42449999999999999</v>
      </c>
      <c r="U81" s="105">
        <v>0.51600000000000001</v>
      </c>
      <c r="V81" s="105">
        <v>0.22</v>
      </c>
      <c r="W81" s="105">
        <f t="shared" si="88"/>
        <v>0.33600000000000002</v>
      </c>
      <c r="X81" s="105">
        <f>25/151</f>
        <v>0.16556291390728478</v>
      </c>
      <c r="Y81" s="105">
        <f t="shared" si="87"/>
        <v>0.16556291390728478</v>
      </c>
      <c r="Z81" s="105">
        <f t="shared" si="82"/>
        <v>2.1634822901805837</v>
      </c>
      <c r="AA81" s="105">
        <v>25</v>
      </c>
      <c r="AB81" s="105">
        <v>9.8000000000000007</v>
      </c>
      <c r="AC81" s="105">
        <v>1215</v>
      </c>
      <c r="AD81" s="105"/>
      <c r="AE81" s="105">
        <v>7.28</v>
      </c>
      <c r="AF81" s="131">
        <f t="shared" si="65"/>
        <v>0.32398533567376314</v>
      </c>
      <c r="AG81" s="25">
        <v>1</v>
      </c>
      <c r="AH81" s="25">
        <v>16</v>
      </c>
      <c r="AI81" s="57">
        <f t="shared" si="66"/>
        <v>0.18944050110674612</v>
      </c>
      <c r="AJ81" s="57">
        <f t="shared" si="67"/>
        <v>0.1551156135198892</v>
      </c>
      <c r="AK81" s="57">
        <f t="shared" si="68"/>
        <v>0.23136099999999998</v>
      </c>
      <c r="AL81" s="53">
        <f t="shared" si="69"/>
        <v>2.86720758431832</v>
      </c>
      <c r="AM81" s="53">
        <f t="shared" si="70"/>
        <v>52.998400000000004</v>
      </c>
      <c r="AN81" s="80">
        <f t="shared" si="71"/>
        <v>0.59077079347218131</v>
      </c>
      <c r="AO81" s="80">
        <f t="shared" si="72"/>
        <v>2.25</v>
      </c>
      <c r="AP81" s="145">
        <f t="shared" si="73"/>
        <v>0.852081432821997</v>
      </c>
      <c r="AQ81" s="145">
        <f t="shared" si="74"/>
        <v>4.6806556199250231</v>
      </c>
      <c r="AR81" s="100">
        <f t="shared" si="75"/>
        <v>478.52434271246688</v>
      </c>
      <c r="AS81" s="100">
        <f t="shared" si="76"/>
        <v>1476225</v>
      </c>
      <c r="AT81" s="25">
        <f t="shared" si="77"/>
        <v>0.21005183767899779</v>
      </c>
      <c r="AU81" s="25">
        <f t="shared" si="78"/>
        <v>0.28444444444444444</v>
      </c>
      <c r="AV81" s="53">
        <f t="shared" ref="AV81:AV86" si="90">AA81*P81</f>
        <v>9.8461798912030218</v>
      </c>
      <c r="AW81" s="53">
        <f t="shared" ref="AW81:AW86" si="91">AA81^2</f>
        <v>625</v>
      </c>
      <c r="AX81" s="100">
        <f t="shared" si="85"/>
        <v>14.493576799850848</v>
      </c>
      <c r="AY81" s="100">
        <f t="shared" si="86"/>
        <v>1354.2399999999998</v>
      </c>
    </row>
    <row r="82" spans="1:96" s="74" customFormat="1" ht="14">
      <c r="A82" s="26" t="s">
        <v>80</v>
      </c>
      <c r="B82" s="24">
        <v>2</v>
      </c>
      <c r="C82" s="24">
        <v>3</v>
      </c>
      <c r="D82" s="27" t="s">
        <v>8</v>
      </c>
      <c r="E82" s="25">
        <f t="shared" si="59"/>
        <v>1.5</v>
      </c>
      <c r="F82" s="25">
        <v>29.9</v>
      </c>
      <c r="G82" s="25">
        <f t="shared" ref="G82:G101" si="92">1.153*F82/15-1</f>
        <v>1.2983133333333332</v>
      </c>
      <c r="H82" s="25">
        <f t="shared" si="89"/>
        <v>1.1491566666666666</v>
      </c>
      <c r="I82" s="25">
        <v>1</v>
      </c>
      <c r="J82" s="25">
        <f t="shared" si="60"/>
        <v>0.34699999999999998</v>
      </c>
      <c r="K82" s="25">
        <f t="shared" si="61"/>
        <v>0.46266666666666662</v>
      </c>
      <c r="L82" s="25">
        <v>0.86</v>
      </c>
      <c r="M82" s="25">
        <v>0.6</v>
      </c>
      <c r="N82" s="25">
        <f t="shared" si="62"/>
        <v>0.32567164179104474</v>
      </c>
      <c r="O82" s="25">
        <f t="shared" si="81"/>
        <v>18.287951639900584</v>
      </c>
      <c r="P82" s="25">
        <f t="shared" si="63"/>
        <v>0.143810529018563</v>
      </c>
      <c r="Q82" s="25">
        <f t="shared" si="64"/>
        <v>0.83333333333333337</v>
      </c>
      <c r="R82" s="25">
        <v>36.799999999999997</v>
      </c>
      <c r="S82" s="25">
        <v>0.4</v>
      </c>
      <c r="T82" s="25">
        <f t="shared" si="84"/>
        <v>0.38400000000000001</v>
      </c>
      <c r="U82" s="25">
        <v>0.245</v>
      </c>
      <c r="V82" s="25">
        <f>1-0.64</f>
        <v>0.36</v>
      </c>
      <c r="W82" s="25">
        <f t="shared" si="88"/>
        <v>0.3173333333333333</v>
      </c>
      <c r="X82" s="25">
        <f>-5/135</f>
        <v>-3.7037037037037035E-2</v>
      </c>
      <c r="Y82" s="25">
        <f t="shared" si="87"/>
        <v>-3.7037037037037035E-2</v>
      </c>
      <c r="Z82" s="25">
        <f t="shared" si="82"/>
        <v>1.7394696134682293</v>
      </c>
      <c r="AA82" s="25">
        <v>13.33</v>
      </c>
      <c r="AB82" s="25">
        <v>6.7</v>
      </c>
      <c r="AC82" s="25">
        <v>237</v>
      </c>
      <c r="AD82" s="25"/>
      <c r="AE82" s="25">
        <v>6.53</v>
      </c>
      <c r="AF82" s="131">
        <f t="shared" si="65"/>
        <v>9.5115606587293303E-2</v>
      </c>
      <c r="AG82" s="25">
        <v>1</v>
      </c>
      <c r="AH82" s="25">
        <v>49</v>
      </c>
      <c r="AI82" s="57">
        <f t="shared" si="66"/>
        <v>5.7524211607425206E-2</v>
      </c>
      <c r="AJ82" s="57">
        <f t="shared" si="67"/>
        <v>2.0681468256598952E-2</v>
      </c>
      <c r="AK82" s="57">
        <f t="shared" si="68"/>
        <v>0.16000000000000003</v>
      </c>
      <c r="AL82" s="53">
        <f t="shared" si="69"/>
        <v>0.93908275449121648</v>
      </c>
      <c r="AM82" s="53">
        <f t="shared" si="70"/>
        <v>42.640900000000002</v>
      </c>
      <c r="AN82" s="80">
        <f t="shared" si="71"/>
        <v>0.21571579352784451</v>
      </c>
      <c r="AO82" s="80">
        <f t="shared" si="72"/>
        <v>2.25</v>
      </c>
      <c r="AP82" s="145">
        <f t="shared" si="73"/>
        <v>0.25015404532458135</v>
      </c>
      <c r="AQ82" s="145">
        <f t="shared" si="74"/>
        <v>3.0257545361793108</v>
      </c>
      <c r="AR82" s="100">
        <f t="shared" si="75"/>
        <v>34.083095377399431</v>
      </c>
      <c r="AS82" s="100">
        <f t="shared" si="76"/>
        <v>56169</v>
      </c>
      <c r="AT82" s="25">
        <f t="shared" si="77"/>
        <v>0.16526082815854179</v>
      </c>
      <c r="AU82" s="25">
        <f t="shared" si="78"/>
        <v>1.3205610445444442</v>
      </c>
      <c r="AV82" s="53">
        <f t="shared" si="90"/>
        <v>1.9169943518174448</v>
      </c>
      <c r="AW82" s="53">
        <f t="shared" si="91"/>
        <v>177.68889999999999</v>
      </c>
      <c r="AX82" s="100">
        <f t="shared" si="85"/>
        <v>5.2922274678831185</v>
      </c>
      <c r="AY82" s="100">
        <f t="shared" si="86"/>
        <v>1354.2399999999998</v>
      </c>
    </row>
    <row r="83" spans="1:96" s="80" customFormat="1" ht="14">
      <c r="A83" s="127" t="s">
        <v>81</v>
      </c>
      <c r="B83" s="128">
        <v>6</v>
      </c>
      <c r="C83" s="128">
        <v>6</v>
      </c>
      <c r="D83" s="129" t="s">
        <v>4</v>
      </c>
      <c r="E83" s="125">
        <f t="shared" si="59"/>
        <v>2.666666666666667</v>
      </c>
      <c r="F83" s="125">
        <v>29.6</v>
      </c>
      <c r="G83" s="125">
        <f t="shared" si="92"/>
        <v>1.2752533333333336</v>
      </c>
      <c r="H83" s="125">
        <f t="shared" si="89"/>
        <v>1.3042933333333333</v>
      </c>
      <c r="I83" s="125">
        <f>4/3</f>
        <v>1.3333333333333333</v>
      </c>
      <c r="J83" s="125">
        <f t="shared" si="60"/>
        <v>0.80600000000000005</v>
      </c>
      <c r="K83" s="125">
        <f t="shared" si="61"/>
        <v>1.0746666666666667</v>
      </c>
      <c r="L83" s="125">
        <v>0.62</v>
      </c>
      <c r="M83" s="125">
        <v>0.6</v>
      </c>
      <c r="N83" s="125">
        <f t="shared" si="62"/>
        <v>0.31850746268656716</v>
      </c>
      <c r="O83" s="125">
        <f t="shared" si="81"/>
        <v>1330.4154849954966</v>
      </c>
      <c r="P83" s="125">
        <f t="shared" si="63"/>
        <v>1.9768260589727743E-3</v>
      </c>
      <c r="Q83" s="125">
        <f t="shared" si="64"/>
        <v>0.44444444444444431</v>
      </c>
      <c r="R83" s="125">
        <v>44.5</v>
      </c>
      <c r="S83" s="125">
        <f>0.298</f>
        <v>0.29799999999999999</v>
      </c>
      <c r="T83" s="125">
        <f t="shared" si="84"/>
        <v>0.3715</v>
      </c>
      <c r="U83" s="125">
        <v>0.11600000000000001</v>
      </c>
      <c r="V83" s="125">
        <v>0.75</v>
      </c>
      <c r="W83" s="125">
        <f t="shared" si="88"/>
        <v>0.55733333333333335</v>
      </c>
      <c r="X83" s="125">
        <f>4/119</f>
        <v>3.3613445378151259E-2</v>
      </c>
      <c r="Y83" s="125">
        <f>(X83+1)/2</f>
        <v>0.51680672268907568</v>
      </c>
      <c r="Z83" s="125">
        <f t="shared" si="82"/>
        <v>1.9012407351821752</v>
      </c>
      <c r="AA83" s="125">
        <v>18.7</v>
      </c>
      <c r="AB83" s="125">
        <v>15.3</v>
      </c>
      <c r="AC83" s="125">
        <v>76</v>
      </c>
      <c r="AD83" s="125"/>
      <c r="AE83" s="125">
        <v>1.94</v>
      </c>
      <c r="AF83" s="131">
        <f t="shared" si="65"/>
        <v>1.4290578820109049E-3</v>
      </c>
      <c r="AG83" s="125">
        <v>1</v>
      </c>
      <c r="AH83" s="125">
        <v>18</v>
      </c>
      <c r="AI83" s="57">
        <f t="shared" si="66"/>
        <v>5.8909416557388671E-4</v>
      </c>
      <c r="AJ83" s="57">
        <f t="shared" si="67"/>
        <v>3.9078412674338299E-6</v>
      </c>
      <c r="AK83" s="57">
        <f t="shared" si="68"/>
        <v>8.8803999999999994E-2</v>
      </c>
      <c r="AL83" s="53">
        <f t="shared" si="69"/>
        <v>3.8350425544071819E-3</v>
      </c>
      <c r="AM83" s="53">
        <f t="shared" si="70"/>
        <v>3.7635999999999998</v>
      </c>
      <c r="AN83" s="80">
        <f t="shared" si="71"/>
        <v>5.2715361572607316E-3</v>
      </c>
      <c r="AO83" s="80">
        <f t="shared" si="72"/>
        <v>7.1111111111111125</v>
      </c>
      <c r="AP83" s="145">
        <f t="shared" si="73"/>
        <v>3.7584222296886795E-3</v>
      </c>
      <c r="AQ83" s="145">
        <f t="shared" si="74"/>
        <v>3.6147163331160579</v>
      </c>
      <c r="AR83" s="100">
        <f t="shared" si="75"/>
        <v>0.15023878048193084</v>
      </c>
      <c r="AS83" s="100">
        <f t="shared" si="76"/>
        <v>5776</v>
      </c>
      <c r="AT83" s="25">
        <f t="shared" si="77"/>
        <v>2.5783610498777963E-3</v>
      </c>
      <c r="AU83" s="25">
        <f t="shared" si="78"/>
        <v>1.7011810993777776</v>
      </c>
      <c r="AV83" s="53">
        <f t="shared" si="90"/>
        <v>3.6966647302790874E-2</v>
      </c>
      <c r="AW83" s="53">
        <f t="shared" si="91"/>
        <v>349.69</v>
      </c>
      <c r="AX83" s="100">
        <f t="shared" si="85"/>
        <v>8.7968759624288448E-2</v>
      </c>
      <c r="AY83" s="100">
        <f t="shared" si="86"/>
        <v>1980.25</v>
      </c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</row>
    <row r="84" spans="1:96" s="70" customFormat="1" ht="14">
      <c r="A84" s="42" t="s">
        <v>82</v>
      </c>
      <c r="B84" s="43">
        <v>5</v>
      </c>
      <c r="C84" s="43">
        <v>6</v>
      </c>
      <c r="D84" s="44" t="s">
        <v>4</v>
      </c>
      <c r="E84" s="45">
        <f t="shared" si="59"/>
        <v>2.5</v>
      </c>
      <c r="F84" s="45">
        <v>25.7</v>
      </c>
      <c r="G84" s="45">
        <f t="shared" si="92"/>
        <v>0.97547333333333341</v>
      </c>
      <c r="H84" s="45">
        <f t="shared" si="89"/>
        <v>0.86273666666666671</v>
      </c>
      <c r="I84" s="45">
        <v>0.75</v>
      </c>
      <c r="J84" s="45">
        <f t="shared" si="60"/>
        <v>0.6</v>
      </c>
      <c r="K84" s="45">
        <f t="shared" si="61"/>
        <v>0.79999999999999993</v>
      </c>
      <c r="L84" s="45">
        <v>0.5</v>
      </c>
      <c r="M84" s="45">
        <v>0.2</v>
      </c>
      <c r="N84" s="45">
        <f t="shared" si="62"/>
        <v>0.11492537313432837</v>
      </c>
      <c r="O84" s="45">
        <f t="shared" si="81"/>
        <v>85.127922819845224</v>
      </c>
      <c r="P84" s="45">
        <f t="shared" si="63"/>
        <v>3.0894680768445672E-2</v>
      </c>
      <c r="Q84" s="45">
        <f t="shared" si="64"/>
        <v>0.5</v>
      </c>
      <c r="R84" s="45"/>
      <c r="S84" s="45">
        <v>0.53</v>
      </c>
      <c r="T84" s="70">
        <f>S84</f>
        <v>0.53</v>
      </c>
      <c r="U84" s="45"/>
      <c r="V84" s="45">
        <v>0.04</v>
      </c>
      <c r="W84" s="25">
        <f>(V84+K84)/2</f>
        <v>0.42</v>
      </c>
      <c r="X84" s="45" t="s">
        <v>225</v>
      </c>
      <c r="Y84" s="45">
        <v>0.1</v>
      </c>
      <c r="Z84" s="45">
        <f t="shared" si="82"/>
        <v>1.6904588483790914</v>
      </c>
      <c r="AA84" s="45">
        <v>25</v>
      </c>
      <c r="AB84" s="45">
        <v>15</v>
      </c>
      <c r="AC84" s="45">
        <v>33.299999999999997</v>
      </c>
      <c r="AD84" s="45"/>
      <c r="AE84" s="45">
        <v>4</v>
      </c>
      <c r="AF84" s="131">
        <f t="shared" si="65"/>
        <v>1.985786557903663E-2</v>
      </c>
      <c r="AG84" s="45">
        <v>1</v>
      </c>
      <c r="AH84" s="45">
        <v>18</v>
      </c>
      <c r="AI84" s="57">
        <f t="shared" si="66"/>
        <v>1.6374180807276206E-2</v>
      </c>
      <c r="AJ84" s="57">
        <f t="shared" si="67"/>
        <v>9.5448129978416686E-4</v>
      </c>
      <c r="AK84" s="57">
        <f t="shared" si="68"/>
        <v>0.28090000000000004</v>
      </c>
      <c r="AL84" s="53">
        <f t="shared" si="69"/>
        <v>0.12357872307378269</v>
      </c>
      <c r="AM84" s="53">
        <f t="shared" si="70"/>
        <v>16</v>
      </c>
      <c r="AN84" s="80">
        <f t="shared" si="71"/>
        <v>7.7236701921114176E-2</v>
      </c>
      <c r="AO84" s="80">
        <f t="shared" si="72"/>
        <v>6.25</v>
      </c>
      <c r="AP84" s="145">
        <f t="shared" si="73"/>
        <v>5.2226186472866337E-2</v>
      </c>
      <c r="AQ84" s="145">
        <f t="shared" si="74"/>
        <v>2.8576511180631639</v>
      </c>
      <c r="AR84" s="100">
        <f t="shared" si="75"/>
        <v>1.0287928695892408</v>
      </c>
      <c r="AS84" s="100">
        <f t="shared" si="76"/>
        <v>1108.8899999999999</v>
      </c>
      <c r="AT84" s="25">
        <f t="shared" si="77"/>
        <v>2.6653973903899592E-2</v>
      </c>
      <c r="AU84" s="25">
        <f t="shared" si="78"/>
        <v>0.74431455601111118</v>
      </c>
      <c r="AV84" s="53">
        <f t="shared" si="90"/>
        <v>0.77236701921114181</v>
      </c>
      <c r="AW84" s="53">
        <f t="shared" si="91"/>
        <v>625</v>
      </c>
      <c r="AX84" s="100"/>
      <c r="AY84" s="100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</row>
    <row r="85" spans="1:96" s="57" customFormat="1" ht="14">
      <c r="A85" s="36" t="s">
        <v>83</v>
      </c>
      <c r="B85" s="37">
        <v>1</v>
      </c>
      <c r="C85" s="37">
        <v>1</v>
      </c>
      <c r="D85" s="38" t="s">
        <v>8</v>
      </c>
      <c r="E85" s="39">
        <f t="shared" si="59"/>
        <v>1</v>
      </c>
      <c r="F85" s="39">
        <v>27.2</v>
      </c>
      <c r="G85" s="39">
        <f t="shared" si="92"/>
        <v>1.0907733333333334</v>
      </c>
      <c r="H85" s="39">
        <f t="shared" si="89"/>
        <v>0.92038666666666669</v>
      </c>
      <c r="I85" s="39">
        <v>0.75</v>
      </c>
      <c r="J85" s="39">
        <f t="shared" si="60"/>
        <v>0.12100000000000011</v>
      </c>
      <c r="K85" s="39">
        <f t="shared" si="61"/>
        <v>0.16133333333333347</v>
      </c>
      <c r="L85" s="39">
        <v>0.53</v>
      </c>
      <c r="M85" s="39">
        <v>0.2</v>
      </c>
      <c r="N85" s="39">
        <f t="shared" si="62"/>
        <v>0.11582089552238807</v>
      </c>
      <c r="O85" s="39">
        <f t="shared" si="81"/>
        <v>3.3119624388189211</v>
      </c>
      <c r="P85" s="39">
        <f t="shared" si="63"/>
        <v>0.79409113134081444</v>
      </c>
      <c r="Q85" s="39">
        <f t="shared" si="64"/>
        <v>1</v>
      </c>
      <c r="R85" s="39">
        <v>33.9</v>
      </c>
      <c r="S85" s="39">
        <f>1-0.895</f>
        <v>0.10499999999999998</v>
      </c>
      <c r="T85" s="39">
        <f t="shared" ref="T85:T92" si="93">(R85/100+S85)/2</f>
        <v>0.22199999999999998</v>
      </c>
      <c r="U85" s="39">
        <v>1.07</v>
      </c>
      <c r="V85" s="39">
        <v>0.9</v>
      </c>
      <c r="W85" s="39">
        <f t="shared" ref="W85:W92" si="94">(V85+U85+J85)/3</f>
        <v>0.69700000000000006</v>
      </c>
      <c r="X85" s="39">
        <f>-8/108</f>
        <v>-7.407407407407407E-2</v>
      </c>
      <c r="Y85" s="39">
        <f>X85</f>
        <v>-7.407407407407407E-2</v>
      </c>
      <c r="Z85" s="39">
        <f t="shared" si="82"/>
        <v>2.3278053781557682</v>
      </c>
      <c r="AA85" s="39">
        <v>5.5</v>
      </c>
      <c r="AB85" s="39">
        <v>14.3</v>
      </c>
      <c r="AC85" s="39">
        <v>4.5880000000000001</v>
      </c>
      <c r="AD85" s="39"/>
      <c r="AE85" s="39">
        <v>8.7899999999999991</v>
      </c>
      <c r="AF85" s="131">
        <f t="shared" si="65"/>
        <v>0.70284775904218488</v>
      </c>
      <c r="AG85" s="39">
        <v>1</v>
      </c>
      <c r="AH85" s="39">
        <v>23</v>
      </c>
      <c r="AI85" s="57">
        <f t="shared" si="66"/>
        <v>8.3379568790785508E-2</v>
      </c>
      <c r="AJ85" s="57">
        <f t="shared" si="67"/>
        <v>0.63058072487413463</v>
      </c>
      <c r="AK85" s="57">
        <f t="shared" si="68"/>
        <v>1.1024999999999997E-2</v>
      </c>
      <c r="AL85" s="53">
        <f t="shared" si="69"/>
        <v>6.9800610444857583</v>
      </c>
      <c r="AM85" s="53">
        <f t="shared" si="70"/>
        <v>77.264099999999985</v>
      </c>
      <c r="AN85" s="80">
        <f t="shared" si="71"/>
        <v>0.79409113134081444</v>
      </c>
      <c r="AO85" s="80">
        <f t="shared" si="72"/>
        <v>1</v>
      </c>
      <c r="AP85" s="145">
        <f t="shared" si="73"/>
        <v>1.8484896062809464</v>
      </c>
      <c r="AQ85" s="145">
        <f t="shared" si="74"/>
        <v>5.4186778785709189</v>
      </c>
      <c r="AR85" s="100">
        <f t="shared" si="75"/>
        <v>3.6432901105916566</v>
      </c>
      <c r="AS85" s="100">
        <f t="shared" si="76"/>
        <v>21.049744</v>
      </c>
      <c r="AT85" s="25">
        <f t="shared" si="77"/>
        <v>0.73087088940433442</v>
      </c>
      <c r="AU85" s="25">
        <f t="shared" si="78"/>
        <v>0.84711161617777786</v>
      </c>
      <c r="AV85" s="53">
        <f t="shared" si="90"/>
        <v>4.3675012223744796</v>
      </c>
      <c r="AW85" s="53">
        <f t="shared" si="91"/>
        <v>30.25</v>
      </c>
      <c r="AX85" s="100">
        <f t="shared" ref="AX85:AX92" si="95">P85*R85</f>
        <v>26.919689352453609</v>
      </c>
      <c r="AY85" s="100">
        <f t="shared" ref="AY85:AY92" si="96">R85*R85</f>
        <v>1149.2099999999998</v>
      </c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</row>
    <row r="86" spans="1:96" s="79" customFormat="1" ht="14">
      <c r="A86" s="76" t="s">
        <v>84</v>
      </c>
      <c r="B86" s="77">
        <v>1</v>
      </c>
      <c r="C86" s="77">
        <v>2</v>
      </c>
      <c r="D86" s="78" t="s">
        <v>8</v>
      </c>
      <c r="E86" s="79">
        <f t="shared" si="59"/>
        <v>1.1666666666666667</v>
      </c>
      <c r="F86" s="79">
        <v>24.3</v>
      </c>
      <c r="G86" s="25">
        <f t="shared" si="92"/>
        <v>0.86786000000000008</v>
      </c>
      <c r="H86" s="79">
        <f t="shared" si="89"/>
        <v>0.93393000000000004</v>
      </c>
      <c r="I86" s="79">
        <v>1</v>
      </c>
      <c r="J86" s="25">
        <f t="shared" si="60"/>
        <v>0.252</v>
      </c>
      <c r="K86" s="57">
        <f t="shared" si="61"/>
        <v>0.33600000000000002</v>
      </c>
      <c r="L86" s="79">
        <v>0.45</v>
      </c>
      <c r="M86" s="79">
        <v>0.6</v>
      </c>
      <c r="N86" s="70">
        <f t="shared" si="62"/>
        <v>0.31343283582089554</v>
      </c>
      <c r="O86" s="53">
        <f t="shared" si="81"/>
        <v>6.3423961696835232</v>
      </c>
      <c r="P86" s="25">
        <f t="shared" si="63"/>
        <v>0.41466977615988837</v>
      </c>
      <c r="Q86" s="79">
        <f t="shared" si="64"/>
        <v>0.94444444444444442</v>
      </c>
      <c r="R86" s="79">
        <v>39.200000000000003</v>
      </c>
      <c r="S86" s="79">
        <f>1-0.872</f>
        <v>0.128</v>
      </c>
      <c r="T86" s="79">
        <f t="shared" si="93"/>
        <v>0.26</v>
      </c>
      <c r="U86" s="79">
        <v>0.74</v>
      </c>
      <c r="V86" s="79">
        <v>0.52</v>
      </c>
      <c r="W86" s="79">
        <f t="shared" si="94"/>
        <v>0.504</v>
      </c>
      <c r="X86" s="79">
        <f>-8/122</f>
        <v>-6.5573770491803282E-2</v>
      </c>
      <c r="Y86" s="79">
        <f>(X86+0.3)/2</f>
        <v>0.11721311475409835</v>
      </c>
      <c r="Z86" s="25">
        <f t="shared" si="82"/>
        <v>2.2985002168334834</v>
      </c>
      <c r="AA86" s="79">
        <v>23.6</v>
      </c>
      <c r="AB86" s="79">
        <v>5.6</v>
      </c>
      <c r="AC86" s="79">
        <v>7.8</v>
      </c>
      <c r="AD86" s="75"/>
      <c r="AE86" s="79">
        <v>7.48</v>
      </c>
      <c r="AF86" s="131">
        <f t="shared" si="65"/>
        <v>0.36240249825771692</v>
      </c>
      <c r="AG86" s="15">
        <v>1</v>
      </c>
      <c r="AH86" s="15">
        <v>18</v>
      </c>
      <c r="AI86" s="57">
        <f t="shared" si="66"/>
        <v>5.3077731348465711E-2</v>
      </c>
      <c r="AJ86" s="57">
        <f t="shared" si="67"/>
        <v>0.17195102326049191</v>
      </c>
      <c r="AK86" s="57">
        <f t="shared" si="68"/>
        <v>1.6383999999999999E-2</v>
      </c>
      <c r="AL86" s="53">
        <f t="shared" si="69"/>
        <v>3.1017299256759654</v>
      </c>
      <c r="AM86" s="53">
        <f t="shared" si="70"/>
        <v>55.950400000000009</v>
      </c>
      <c r="AN86" s="80">
        <f t="shared" si="71"/>
        <v>0.48378140551986981</v>
      </c>
      <c r="AO86" s="80">
        <f t="shared" si="72"/>
        <v>1.3611111111111114</v>
      </c>
      <c r="AP86" s="145">
        <f t="shared" si="73"/>
        <v>0.95311857041779546</v>
      </c>
      <c r="AQ86" s="145">
        <f t="shared" si="74"/>
        <v>5.2831032467835701</v>
      </c>
      <c r="AR86" s="100">
        <f t="shared" si="75"/>
        <v>3.2344242540471293</v>
      </c>
      <c r="AS86" s="100">
        <f t="shared" si="76"/>
        <v>60.839999999999996</v>
      </c>
      <c r="AT86" s="25">
        <f t="shared" si="77"/>
        <v>0.38727254404900457</v>
      </c>
      <c r="AU86" s="25">
        <f t="shared" si="78"/>
        <v>0.87222524490000009</v>
      </c>
      <c r="AV86" s="53">
        <f t="shared" si="90"/>
        <v>9.786206717373366</v>
      </c>
      <c r="AW86" s="53">
        <f t="shared" si="91"/>
        <v>556.96</v>
      </c>
      <c r="AX86" s="100">
        <f t="shared" si="95"/>
        <v>16.255055225467625</v>
      </c>
      <c r="AY86" s="100">
        <f t="shared" si="96"/>
        <v>1536.6400000000003</v>
      </c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</row>
    <row r="87" spans="1:96" s="25" customFormat="1" ht="14">
      <c r="A87" s="36" t="s">
        <v>85</v>
      </c>
      <c r="B87" s="37">
        <v>1</v>
      </c>
      <c r="C87" s="37">
        <v>2</v>
      </c>
      <c r="D87" s="38" t="s">
        <v>8</v>
      </c>
      <c r="E87" s="39">
        <f t="shared" si="59"/>
        <v>1.1666666666666667</v>
      </c>
      <c r="F87" s="39">
        <v>26.8</v>
      </c>
      <c r="G87" s="39">
        <f t="shared" si="92"/>
        <v>1.0600266666666669</v>
      </c>
      <c r="H87" s="39">
        <f t="shared" si="89"/>
        <v>0.90501333333333345</v>
      </c>
      <c r="I87" s="39">
        <v>0.75</v>
      </c>
      <c r="J87" s="39">
        <f t="shared" si="60"/>
        <v>0.21699999999999997</v>
      </c>
      <c r="K87" s="39">
        <f t="shared" si="61"/>
        <v>0.28933333333333328</v>
      </c>
      <c r="L87" s="39">
        <v>3.16</v>
      </c>
      <c r="M87" s="39">
        <v>0.6</v>
      </c>
      <c r="N87" s="39">
        <f t="shared" si="62"/>
        <v>0.39432835820895523</v>
      </c>
      <c r="O87" s="39">
        <f t="shared" si="81"/>
        <v>6.3818255684887397</v>
      </c>
      <c r="P87" s="39">
        <f t="shared" si="63"/>
        <v>0.41210778511183943</v>
      </c>
      <c r="Q87" s="39">
        <f t="shared" si="64"/>
        <v>0.94444444444444442</v>
      </c>
      <c r="R87" s="39">
        <v>32</v>
      </c>
      <c r="S87" s="39">
        <f>1-0.854</f>
        <v>0.14600000000000002</v>
      </c>
      <c r="T87" s="39">
        <f t="shared" si="93"/>
        <v>0.23300000000000001</v>
      </c>
      <c r="U87" s="39">
        <v>1.2010000000000001</v>
      </c>
      <c r="V87" s="39">
        <v>0.96</v>
      </c>
      <c r="W87" s="39">
        <f t="shared" si="94"/>
        <v>0.79266666666666674</v>
      </c>
      <c r="X87" s="39">
        <f>4/98</f>
        <v>4.0816326530612242E-2</v>
      </c>
      <c r="Y87" s="39">
        <f>X87</f>
        <v>4.0816326530612242E-2</v>
      </c>
      <c r="Z87" s="39">
        <f t="shared" si="82"/>
        <v>2.7380170061908102</v>
      </c>
      <c r="AA87" s="39" t="s">
        <v>223</v>
      </c>
      <c r="AB87" s="39">
        <v>8.4</v>
      </c>
      <c r="AC87" s="39">
        <v>61</v>
      </c>
      <c r="AD87" s="39"/>
      <c r="AE87" s="39">
        <v>7.83</v>
      </c>
      <c r="AF87" s="131">
        <f t="shared" si="65"/>
        <v>0.42903350723188</v>
      </c>
      <c r="AG87" s="39">
        <v>1</v>
      </c>
      <c r="AH87" s="80">
        <v>25</v>
      </c>
      <c r="AI87" s="57">
        <f t="shared" si="66"/>
        <v>6.0167736626328565E-2</v>
      </c>
      <c r="AJ87" s="57">
        <f t="shared" si="67"/>
        <v>0.16983282654978601</v>
      </c>
      <c r="AK87" s="57">
        <f t="shared" si="68"/>
        <v>2.1316000000000005E-2</v>
      </c>
      <c r="AL87" s="53">
        <f t="shared" si="69"/>
        <v>3.2268039574257026</v>
      </c>
      <c r="AM87" s="53">
        <f t="shared" si="70"/>
        <v>61.308900000000001</v>
      </c>
      <c r="AN87" s="80">
        <f t="shared" si="71"/>
        <v>0.48079241596381272</v>
      </c>
      <c r="AO87" s="80">
        <f t="shared" si="72"/>
        <v>1.3611111111111114</v>
      </c>
      <c r="AP87" s="145">
        <f t="shared" si="73"/>
        <v>1.1283581240198444</v>
      </c>
      <c r="AQ87" s="145">
        <f t="shared" si="74"/>
        <v>7.4967371261900873</v>
      </c>
      <c r="AR87" s="100">
        <f t="shared" si="75"/>
        <v>25.138574891822206</v>
      </c>
      <c r="AS87" s="100">
        <f t="shared" si="76"/>
        <v>3721</v>
      </c>
      <c r="AT87" s="25">
        <f t="shared" si="77"/>
        <v>0.37296304029668287</v>
      </c>
      <c r="AU87" s="25">
        <f t="shared" si="78"/>
        <v>0.8190491335111113</v>
      </c>
      <c r="AV87" s="53"/>
      <c r="AW87" s="53"/>
      <c r="AX87" s="100">
        <f t="shared" si="95"/>
        <v>13.187449123578862</v>
      </c>
      <c r="AY87" s="100">
        <f t="shared" si="96"/>
        <v>1024</v>
      </c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</row>
    <row r="88" spans="1:96" s="13" customFormat="1" ht="14">
      <c r="A88" s="16" t="s">
        <v>86</v>
      </c>
      <c r="B88" s="14">
        <v>2</v>
      </c>
      <c r="C88" s="14">
        <v>3</v>
      </c>
      <c r="D88" s="22" t="s">
        <v>8</v>
      </c>
      <c r="E88" s="15">
        <f t="shared" si="59"/>
        <v>1.5</v>
      </c>
      <c r="F88" s="15">
        <v>35.799999999999997</v>
      </c>
      <c r="G88" s="25">
        <f t="shared" si="92"/>
        <v>1.7518266666666666</v>
      </c>
      <c r="H88" s="15">
        <f t="shared" si="89"/>
        <v>1.2509133333333333</v>
      </c>
      <c r="I88" s="15">
        <v>0.75</v>
      </c>
      <c r="J88" s="25">
        <f t="shared" si="60"/>
        <v>0.27900000000000003</v>
      </c>
      <c r="K88" s="57">
        <f t="shared" si="61"/>
        <v>0.37200000000000005</v>
      </c>
      <c r="L88" s="15">
        <v>0.14000000000000001</v>
      </c>
      <c r="M88" s="15">
        <v>0.2</v>
      </c>
      <c r="N88" s="70">
        <f t="shared" si="62"/>
        <v>0.10417910447761194</v>
      </c>
      <c r="O88" s="53">
        <f t="shared" si="81"/>
        <v>13.338287470426918</v>
      </c>
      <c r="P88" s="25">
        <f t="shared" si="63"/>
        <v>0.19717673695600907</v>
      </c>
      <c r="Q88" s="15">
        <f t="shared" si="64"/>
        <v>0.83333333333333337</v>
      </c>
      <c r="R88" s="15">
        <v>45.5</v>
      </c>
      <c r="S88" s="15">
        <v>0.312</v>
      </c>
      <c r="T88" s="15">
        <f t="shared" si="93"/>
        <v>0.38350000000000001</v>
      </c>
      <c r="U88" s="15">
        <v>1.2649999999999999</v>
      </c>
      <c r="V88" s="15">
        <v>0.85</v>
      </c>
      <c r="W88" s="15">
        <f t="shared" si="94"/>
        <v>0.79799999999999993</v>
      </c>
      <c r="X88" s="15" t="s">
        <v>223</v>
      </c>
      <c r="Y88" s="15">
        <v>0.1</v>
      </c>
      <c r="Z88" s="25">
        <f t="shared" si="82"/>
        <v>2.9093121150724977</v>
      </c>
      <c r="AA88" s="15">
        <v>16.5</v>
      </c>
      <c r="AB88" s="15">
        <v>12.7</v>
      </c>
      <c r="AC88" s="15">
        <v>2.7</v>
      </c>
      <c r="AD88" s="75"/>
      <c r="AE88" s="15">
        <v>7.21</v>
      </c>
      <c r="AF88" s="131">
        <f t="shared" si="65"/>
        <v>0.218117364880829</v>
      </c>
      <c r="AG88" s="79">
        <v>1</v>
      </c>
      <c r="AH88" s="79">
        <v>38</v>
      </c>
      <c r="AI88" s="57">
        <f t="shared" si="66"/>
        <v>6.1519141930274829E-2</v>
      </c>
      <c r="AJ88" s="57">
        <f t="shared" si="67"/>
        <v>3.8878665596619191E-2</v>
      </c>
      <c r="AK88" s="57">
        <f t="shared" si="68"/>
        <v>9.7344E-2</v>
      </c>
      <c r="AL88" s="53">
        <f t="shared" si="69"/>
        <v>1.4216442734528254</v>
      </c>
      <c r="AM88" s="53">
        <f t="shared" si="70"/>
        <v>51.984099999999998</v>
      </c>
      <c r="AN88" s="80">
        <f t="shared" si="71"/>
        <v>0.29576510543401358</v>
      </c>
      <c r="AO88" s="80">
        <f t="shared" si="72"/>
        <v>2.25</v>
      </c>
      <c r="AP88" s="145">
        <f t="shared" si="73"/>
        <v>0.57364866963658023</v>
      </c>
      <c r="AQ88" s="145">
        <f t="shared" si="74"/>
        <v>8.4640969829076091</v>
      </c>
      <c r="AR88" s="100">
        <f t="shared" si="75"/>
        <v>0.5323771897812245</v>
      </c>
      <c r="AS88" s="100">
        <f t="shared" si="76"/>
        <v>7.2900000000000009</v>
      </c>
      <c r="AT88" s="25">
        <f t="shared" si="77"/>
        <v>0.24665100928143116</v>
      </c>
      <c r="AU88" s="25">
        <f t="shared" si="78"/>
        <v>1.5647841675111112</v>
      </c>
      <c r="AV88" s="53">
        <f>AA88*P88</f>
        <v>3.2534161597741496</v>
      </c>
      <c r="AW88" s="53">
        <f>AA88^2</f>
        <v>272.25</v>
      </c>
      <c r="AX88" s="100">
        <f t="shared" si="95"/>
        <v>8.9715415314984135</v>
      </c>
      <c r="AY88" s="100">
        <f t="shared" si="96"/>
        <v>2070.25</v>
      </c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5"/>
      <c r="CQ88" s="15"/>
      <c r="CR88" s="15"/>
    </row>
    <row r="89" spans="1:96" s="49" customFormat="1" ht="14">
      <c r="A89" s="102" t="s">
        <v>87</v>
      </c>
      <c r="B89" s="103">
        <v>1</v>
      </c>
      <c r="C89" s="103">
        <v>2</v>
      </c>
      <c r="D89" s="104" t="s">
        <v>8</v>
      </c>
      <c r="E89" s="105">
        <f t="shared" si="59"/>
        <v>1.1666666666666667</v>
      </c>
      <c r="F89" s="105">
        <v>27.5</v>
      </c>
      <c r="G89" s="105">
        <f t="shared" si="92"/>
        <v>1.1138333333333335</v>
      </c>
      <c r="H89" s="105">
        <f t="shared" si="89"/>
        <v>1.0569166666666667</v>
      </c>
      <c r="I89" s="132">
        <v>1</v>
      </c>
      <c r="J89" s="105">
        <f t="shared" si="60"/>
        <v>0.19199999999999995</v>
      </c>
      <c r="K89" s="105">
        <f t="shared" si="61"/>
        <v>0.25599999999999995</v>
      </c>
      <c r="L89" s="105">
        <v>6.23</v>
      </c>
      <c r="M89" s="105">
        <v>0.8</v>
      </c>
      <c r="N89" s="105">
        <f t="shared" si="62"/>
        <v>0.58597014925373136</v>
      </c>
      <c r="O89" s="105">
        <f t="shared" si="81"/>
        <v>9.1647806898147053</v>
      </c>
      <c r="P89" s="105">
        <f t="shared" si="63"/>
        <v>0.28696813257330367</v>
      </c>
      <c r="Q89" s="105">
        <f t="shared" si="64"/>
        <v>0.94444444444444442</v>
      </c>
      <c r="R89" s="105">
        <v>37.6</v>
      </c>
      <c r="S89" s="105">
        <f>1-0.884</f>
        <v>0.11599999999999999</v>
      </c>
      <c r="T89" s="105">
        <f t="shared" si="93"/>
        <v>0.246</v>
      </c>
      <c r="U89" s="105">
        <v>2.0819999999999999</v>
      </c>
      <c r="V89" s="105">
        <v>1.05</v>
      </c>
      <c r="W89" s="105">
        <f t="shared" si="94"/>
        <v>1.1079999999999999</v>
      </c>
      <c r="X89" s="105">
        <f>-3/102</f>
        <v>-2.9411764705882353E-2</v>
      </c>
      <c r="Y89" s="105">
        <f>X89</f>
        <v>-2.9411764705882353E-2</v>
      </c>
      <c r="Z89" s="105">
        <f t="shared" si="82"/>
        <v>3.4938350461726508</v>
      </c>
      <c r="AA89" s="105">
        <v>16</v>
      </c>
      <c r="AB89" s="105">
        <v>4.8</v>
      </c>
      <c r="AC89" s="105">
        <v>127.75</v>
      </c>
      <c r="AD89" s="105"/>
      <c r="AE89" s="105">
        <v>8.08</v>
      </c>
      <c r="AF89" s="131">
        <f t="shared" si="65"/>
        <v>0.38122407555867982</v>
      </c>
      <c r="AG89" s="105">
        <v>1</v>
      </c>
      <c r="AH89" s="105">
        <v>16</v>
      </c>
      <c r="AI89" s="135">
        <f t="shared" si="66"/>
        <v>3.328830337850322E-2</v>
      </c>
      <c r="AJ89" s="57">
        <f t="shared" si="67"/>
        <v>8.2350709112609194E-2</v>
      </c>
      <c r="AK89" s="57">
        <f t="shared" si="68"/>
        <v>1.3455999999999997E-2</v>
      </c>
      <c r="AL89" s="53">
        <f t="shared" si="69"/>
        <v>2.3187025111922939</v>
      </c>
      <c r="AM89" s="53">
        <f t="shared" si="70"/>
        <v>65.2864</v>
      </c>
      <c r="AN89" s="80">
        <f t="shared" si="71"/>
        <v>0.33479615466885432</v>
      </c>
      <c r="AO89" s="80">
        <f t="shared" si="72"/>
        <v>1.3611111111111114</v>
      </c>
      <c r="AP89" s="145">
        <f t="shared" si="73"/>
        <v>1.0026193187193277</v>
      </c>
      <c r="AQ89" s="145">
        <f t="shared" si="74"/>
        <v>12.206883329864249</v>
      </c>
      <c r="AR89" s="100">
        <f t="shared" si="75"/>
        <v>36.660178936239546</v>
      </c>
      <c r="AS89" s="100">
        <f t="shared" si="76"/>
        <v>16320.0625</v>
      </c>
      <c r="AT89" s="25">
        <f t="shared" si="77"/>
        <v>0.30330140211893419</v>
      </c>
      <c r="AU89" s="25">
        <f t="shared" si="78"/>
        <v>1.1170728402777779</v>
      </c>
      <c r="AV89" s="53">
        <f>AA89*P89</f>
        <v>4.5914901211728587</v>
      </c>
      <c r="AW89" s="53">
        <f>AA89^2</f>
        <v>256</v>
      </c>
      <c r="AX89" s="100">
        <f t="shared" si="95"/>
        <v>10.790001784756218</v>
      </c>
      <c r="AY89" s="100">
        <f t="shared" si="96"/>
        <v>1413.7600000000002</v>
      </c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</row>
    <row r="90" spans="1:96" s="82" customFormat="1" ht="14">
      <c r="A90" s="71" t="s">
        <v>88</v>
      </c>
      <c r="B90" s="72">
        <v>6</v>
      </c>
      <c r="C90" s="72">
        <v>5</v>
      </c>
      <c r="D90" s="73" t="s">
        <v>4</v>
      </c>
      <c r="E90" s="74">
        <f t="shared" si="59"/>
        <v>2.5</v>
      </c>
      <c r="F90" s="74">
        <v>30.7</v>
      </c>
      <c r="G90" s="25">
        <f t="shared" si="92"/>
        <v>1.3598066666666666</v>
      </c>
      <c r="H90" s="74">
        <f t="shared" si="89"/>
        <v>1.0549033333333333</v>
      </c>
      <c r="I90" s="74">
        <v>0.75</v>
      </c>
      <c r="J90" s="25">
        <f t="shared" si="60"/>
        <v>0.626</v>
      </c>
      <c r="K90" s="57">
        <f t="shared" si="61"/>
        <v>0.83466666666666667</v>
      </c>
      <c r="L90" s="74">
        <v>0.1</v>
      </c>
      <c r="M90" s="74">
        <v>0.2</v>
      </c>
      <c r="N90" s="70">
        <f t="shared" si="62"/>
        <v>0.10298507462686568</v>
      </c>
      <c r="O90" s="53">
        <f t="shared" si="81"/>
        <v>145.67639463182769</v>
      </c>
      <c r="P90" s="25">
        <f t="shared" si="63"/>
        <v>1.8053714238651208E-2</v>
      </c>
      <c r="Q90" s="74">
        <f t="shared" si="64"/>
        <v>0.5</v>
      </c>
      <c r="R90" s="74">
        <v>39.700000000000003</v>
      </c>
      <c r="S90" s="74">
        <v>0.31900000000000001</v>
      </c>
      <c r="T90" s="74">
        <f t="shared" si="93"/>
        <v>0.35799999999999998</v>
      </c>
      <c r="U90" s="74">
        <v>0.60699999999999998</v>
      </c>
      <c r="V90" s="74">
        <v>0.75</v>
      </c>
      <c r="W90" s="74">
        <f t="shared" si="94"/>
        <v>0.66100000000000003</v>
      </c>
      <c r="X90" s="74">
        <f>6/133</f>
        <v>4.5112781954887216E-2</v>
      </c>
      <c r="Y90" s="74">
        <f>X90</f>
        <v>4.5112781954887216E-2</v>
      </c>
      <c r="Z90" s="25">
        <f t="shared" si="82"/>
        <v>1.7024295723276306</v>
      </c>
      <c r="AA90" s="74">
        <v>14.2</v>
      </c>
      <c r="AB90" s="74">
        <v>12.3</v>
      </c>
      <c r="AC90" s="74">
        <v>6.29</v>
      </c>
      <c r="AD90" s="75"/>
      <c r="AE90" s="74">
        <v>3.74</v>
      </c>
      <c r="AF90" s="131">
        <f t="shared" si="65"/>
        <v>1.1686379091343053E-2</v>
      </c>
      <c r="AG90" s="79">
        <v>1</v>
      </c>
      <c r="AH90" s="79">
        <v>18</v>
      </c>
      <c r="AI90" s="57">
        <f t="shared" si="66"/>
        <v>5.7591348421297357E-3</v>
      </c>
      <c r="AJ90" s="57">
        <f t="shared" si="67"/>
        <v>3.2593659781087738E-4</v>
      </c>
      <c r="AK90" s="57">
        <f t="shared" si="68"/>
        <v>0.101761</v>
      </c>
      <c r="AL90" s="53">
        <f t="shared" si="69"/>
        <v>6.7520891252555518E-2</v>
      </c>
      <c r="AM90" s="53">
        <f t="shared" si="70"/>
        <v>13.987600000000002</v>
      </c>
      <c r="AN90" s="80">
        <f t="shared" si="71"/>
        <v>4.5134285596628021E-2</v>
      </c>
      <c r="AO90" s="80">
        <f t="shared" si="72"/>
        <v>6.25</v>
      </c>
      <c r="AP90" s="145">
        <f t="shared" si="73"/>
        <v>3.0735177010232231E-2</v>
      </c>
      <c r="AQ90" s="145">
        <f t="shared" si="74"/>
        <v>2.8982664487356393</v>
      </c>
      <c r="AR90" s="100">
        <f t="shared" si="75"/>
        <v>0.11355786256111611</v>
      </c>
      <c r="AS90" s="100">
        <f t="shared" si="76"/>
        <v>39.564100000000003</v>
      </c>
      <c r="AT90" s="25">
        <f t="shared" si="77"/>
        <v>1.904492332940062E-2</v>
      </c>
      <c r="AU90" s="25">
        <f t="shared" si="78"/>
        <v>1.1128210426777778</v>
      </c>
      <c r="AV90" s="53">
        <f>AA90*P90</f>
        <v>0.25636274218884714</v>
      </c>
      <c r="AW90" s="53">
        <f>AA90^2</f>
        <v>201.64</v>
      </c>
      <c r="AX90" s="100">
        <f t="shared" si="95"/>
        <v>0.71673245527445306</v>
      </c>
      <c r="AY90" s="100">
        <f t="shared" si="96"/>
        <v>1576.0900000000001</v>
      </c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8"/>
      <c r="BK90" s="18"/>
      <c r="BL90" s="18"/>
      <c r="BM90" s="18"/>
      <c r="BN90" s="18"/>
      <c r="BO90" s="18"/>
      <c r="BP90" s="18"/>
      <c r="BQ90" s="18"/>
      <c r="BR90" s="18"/>
      <c r="BS90" s="18"/>
      <c r="BT90" s="18"/>
      <c r="BU90" s="18"/>
      <c r="BV90" s="18"/>
      <c r="BW90" s="18"/>
      <c r="BX90" s="18"/>
      <c r="BY90" s="18"/>
      <c r="BZ90" s="18"/>
      <c r="CA90" s="18"/>
      <c r="CB90" s="18"/>
      <c r="CC90" s="18"/>
      <c r="CD90" s="18"/>
      <c r="CE90" s="18"/>
      <c r="CF90" s="18"/>
      <c r="CG90" s="18"/>
      <c r="CH90" s="18"/>
      <c r="CI90" s="18"/>
      <c r="CJ90" s="18"/>
      <c r="CK90" s="18"/>
      <c r="CL90" s="18"/>
      <c r="CM90" s="18"/>
      <c r="CN90" s="18"/>
      <c r="CO90" s="18"/>
      <c r="CP90" s="18"/>
      <c r="CQ90" s="18"/>
      <c r="CR90" s="18"/>
    </row>
    <row r="91" spans="1:96" s="13" customFormat="1" ht="14">
      <c r="A91" s="16" t="s">
        <v>89</v>
      </c>
      <c r="B91" s="14">
        <v>6</v>
      </c>
      <c r="C91" s="14">
        <v>5</v>
      </c>
      <c r="D91" s="22" t="s">
        <v>4</v>
      </c>
      <c r="E91" s="15">
        <f t="shared" si="59"/>
        <v>2.5</v>
      </c>
      <c r="F91" s="15">
        <v>25.2</v>
      </c>
      <c r="G91" s="25">
        <f t="shared" si="92"/>
        <v>0.93703999999999987</v>
      </c>
      <c r="H91" s="15">
        <f t="shared" si="89"/>
        <v>0.84351999999999994</v>
      </c>
      <c r="I91" s="15">
        <v>0.75</v>
      </c>
      <c r="J91" s="25">
        <f t="shared" si="60"/>
        <v>0.67</v>
      </c>
      <c r="K91" s="57">
        <f t="shared" si="61"/>
        <v>0.89333333333333342</v>
      </c>
      <c r="L91" s="15">
        <v>0.17</v>
      </c>
      <c r="M91" s="15">
        <v>0.2</v>
      </c>
      <c r="N91" s="70">
        <f t="shared" si="62"/>
        <v>0.10507462686567165</v>
      </c>
      <c r="O91" s="53">
        <f t="shared" si="81"/>
        <v>99.964977585222144</v>
      </c>
      <c r="P91" s="25">
        <f t="shared" si="63"/>
        <v>2.6309214122094634E-2</v>
      </c>
      <c r="Q91" s="15">
        <f t="shared" si="64"/>
        <v>0.5</v>
      </c>
      <c r="R91" s="15">
        <v>26.7</v>
      </c>
      <c r="S91" s="15">
        <f>1-0.714</f>
        <v>0.28600000000000003</v>
      </c>
      <c r="T91" s="15">
        <f t="shared" si="93"/>
        <v>0.27650000000000002</v>
      </c>
      <c r="U91" s="15">
        <v>0.16</v>
      </c>
      <c r="V91" s="15">
        <v>0.25</v>
      </c>
      <c r="W91" s="15">
        <f t="shared" si="94"/>
        <v>0.36000000000000004</v>
      </c>
      <c r="X91" s="15">
        <f>-25/135</f>
        <v>-0.18518518518518517</v>
      </c>
      <c r="Y91" s="15">
        <f>X91</f>
        <v>-0.18518518518518517</v>
      </c>
      <c r="Z91" s="25">
        <f t="shared" si="82"/>
        <v>1.2531462730984981</v>
      </c>
      <c r="AA91" s="15">
        <v>8.1999999999999993</v>
      </c>
      <c r="AB91" s="15">
        <v>5.4</v>
      </c>
      <c r="AC91" s="15">
        <v>17</v>
      </c>
      <c r="AD91" s="75"/>
      <c r="AE91" s="15">
        <v>3.3</v>
      </c>
      <c r="AF91" s="131">
        <f t="shared" si="65"/>
        <v>1.2535853089449911E-2</v>
      </c>
      <c r="AG91" s="15">
        <v>1</v>
      </c>
      <c r="AH91" s="15">
        <v>27</v>
      </c>
      <c r="AI91" s="57">
        <f t="shared" si="66"/>
        <v>7.5244352389190663E-3</v>
      </c>
      <c r="AJ91" s="57">
        <f t="shared" si="67"/>
        <v>6.921747477222237E-4</v>
      </c>
      <c r="AK91" s="57">
        <f t="shared" si="68"/>
        <v>8.1796000000000021E-2</v>
      </c>
      <c r="AL91" s="53">
        <f t="shared" si="69"/>
        <v>8.6820406602912292E-2</v>
      </c>
      <c r="AM91" s="53">
        <f t="shared" si="70"/>
        <v>10.889999999999999</v>
      </c>
      <c r="AN91" s="80">
        <f t="shared" si="71"/>
        <v>6.577303530523658E-2</v>
      </c>
      <c r="AO91" s="80">
        <f t="shared" si="72"/>
        <v>6.25</v>
      </c>
      <c r="AP91" s="145">
        <f t="shared" si="73"/>
        <v>3.2969293625253263E-2</v>
      </c>
      <c r="AQ91" s="145">
        <f t="shared" si="74"/>
        <v>1.5703755817806557</v>
      </c>
      <c r="AR91" s="100">
        <f t="shared" si="75"/>
        <v>0.44725664007560878</v>
      </c>
      <c r="AS91" s="100">
        <f t="shared" si="76"/>
        <v>289</v>
      </c>
      <c r="AT91" s="25">
        <f t="shared" si="77"/>
        <v>2.2192348296269263E-2</v>
      </c>
      <c r="AU91" s="25">
        <f t="shared" si="78"/>
        <v>0.71152599039999986</v>
      </c>
      <c r="AV91" s="53">
        <f>AA91*P91</f>
        <v>0.21573555580117598</v>
      </c>
      <c r="AW91" s="53">
        <f>AA91^2</f>
        <v>67.239999999999995</v>
      </c>
      <c r="AX91" s="100">
        <f t="shared" si="95"/>
        <v>0.70245601705992666</v>
      </c>
      <c r="AY91" s="100">
        <f t="shared" si="96"/>
        <v>712.89</v>
      </c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</row>
    <row r="92" spans="1:96" s="39" customFormat="1" ht="14">
      <c r="A92" s="71" t="s">
        <v>90</v>
      </c>
      <c r="B92" s="72">
        <v>4</v>
      </c>
      <c r="C92" s="72">
        <v>3</v>
      </c>
      <c r="D92" s="73" t="s">
        <v>3</v>
      </c>
      <c r="E92" s="74">
        <f t="shared" si="59"/>
        <v>1.8333333333333335</v>
      </c>
      <c r="F92" s="74">
        <v>37.799999999999997</v>
      </c>
      <c r="G92" s="74">
        <f t="shared" si="92"/>
        <v>1.9055599999999999</v>
      </c>
      <c r="H92" s="74">
        <f t="shared" si="89"/>
        <v>1.32778</v>
      </c>
      <c r="I92" s="74">
        <v>0.75</v>
      </c>
      <c r="J92" s="74">
        <f t="shared" si="60"/>
        <v>0.52900000000000003</v>
      </c>
      <c r="K92" s="74">
        <f t="shared" si="61"/>
        <v>0.70533333333333337</v>
      </c>
      <c r="L92" s="74">
        <v>0.14000000000000001</v>
      </c>
      <c r="M92" s="74">
        <v>0.2</v>
      </c>
      <c r="N92" s="74">
        <f t="shared" si="62"/>
        <v>0.10417910447761194</v>
      </c>
      <c r="O92" s="74">
        <f t="shared" si="81"/>
        <v>50.318332268248071</v>
      </c>
      <c r="P92" s="74">
        <f t="shared" si="63"/>
        <v>5.226723306288085E-2</v>
      </c>
      <c r="Q92" s="74">
        <f t="shared" si="64"/>
        <v>0.7222222222222221</v>
      </c>
      <c r="R92" s="74">
        <v>42.5</v>
      </c>
      <c r="S92" s="138">
        <v>0.53</v>
      </c>
      <c r="T92" s="74">
        <f t="shared" si="93"/>
        <v>0.47750000000000004</v>
      </c>
      <c r="U92" s="74">
        <v>0.48499999999999999</v>
      </c>
      <c r="V92" s="74">
        <v>0.56999999999999995</v>
      </c>
      <c r="W92" s="74">
        <f t="shared" si="94"/>
        <v>0.52800000000000002</v>
      </c>
      <c r="X92" s="74">
        <f>28/125</f>
        <v>0.224</v>
      </c>
      <c r="Y92" s="74">
        <f>X92</f>
        <v>0.224</v>
      </c>
      <c r="Z92" s="74">
        <f t="shared" si="82"/>
        <v>2.4301967525984458</v>
      </c>
      <c r="AA92" s="74">
        <v>50</v>
      </c>
      <c r="AB92" s="74">
        <v>40</v>
      </c>
      <c r="AC92" s="74">
        <v>38.61</v>
      </c>
      <c r="AD92" s="74"/>
      <c r="AE92" s="74">
        <v>4.71</v>
      </c>
      <c r="AF92" s="131">
        <f t="shared" si="65"/>
        <v>4.829644869076774E-2</v>
      </c>
      <c r="AG92" s="74">
        <v>1</v>
      </c>
      <c r="AH92" s="74">
        <v>58</v>
      </c>
      <c r="AI92" s="57">
        <f t="shared" si="66"/>
        <v>2.770163352332685E-2</v>
      </c>
      <c r="AJ92" s="57">
        <f t="shared" si="67"/>
        <v>2.7318636520495048E-3</v>
      </c>
      <c r="AK92" s="57">
        <f t="shared" si="68"/>
        <v>0.28090000000000004</v>
      </c>
      <c r="AL92" s="53">
        <f t="shared" si="69"/>
        <v>0.24617866772616881</v>
      </c>
      <c r="AM92" s="53">
        <f t="shared" si="70"/>
        <v>22.184100000000001</v>
      </c>
      <c r="AN92" s="80">
        <f t="shared" si="71"/>
        <v>9.5823260615281569E-2</v>
      </c>
      <c r="AO92" s="80">
        <f t="shared" si="72"/>
        <v>3.3611111111111116</v>
      </c>
      <c r="AP92" s="145">
        <f t="shared" si="73"/>
        <v>0.12701966005671916</v>
      </c>
      <c r="AQ92" s="145">
        <f t="shared" si="74"/>
        <v>5.9058562563400319</v>
      </c>
      <c r="AR92" s="100">
        <f t="shared" si="75"/>
        <v>2.0180378685578297</v>
      </c>
      <c r="AS92" s="100">
        <f t="shared" si="76"/>
        <v>1490.7320999999999</v>
      </c>
      <c r="AT92" s="25">
        <f t="shared" si="77"/>
        <v>6.9399386716231928E-2</v>
      </c>
      <c r="AU92" s="25">
        <f t="shared" si="78"/>
        <v>1.7629997283999999</v>
      </c>
      <c r="AV92" s="53">
        <f>AA92*P92</f>
        <v>2.6133616531440427</v>
      </c>
      <c r="AW92" s="53">
        <f>AA92^2</f>
        <v>2500</v>
      </c>
      <c r="AX92" s="100">
        <f t="shared" si="95"/>
        <v>2.2213574051724363</v>
      </c>
      <c r="AY92" s="100">
        <f t="shared" si="96"/>
        <v>1806.25</v>
      </c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</row>
    <row r="93" spans="1:96" s="15" customFormat="1" ht="14">
      <c r="A93" s="16" t="s">
        <v>91</v>
      </c>
      <c r="B93" s="14">
        <v>1</v>
      </c>
      <c r="C93" s="14">
        <v>1</v>
      </c>
      <c r="D93" s="22" t="s">
        <v>8</v>
      </c>
      <c r="E93" s="15">
        <f t="shared" si="59"/>
        <v>1</v>
      </c>
      <c r="G93" s="25">
        <f t="shared" si="92"/>
        <v>-1</v>
      </c>
      <c r="H93" s="15">
        <v>0.75</v>
      </c>
      <c r="I93" s="15">
        <v>0.75</v>
      </c>
      <c r="J93" s="25">
        <f t="shared" si="60"/>
        <v>0.19000000000000006</v>
      </c>
      <c r="K93" s="57">
        <f t="shared" si="61"/>
        <v>0.25333333333333341</v>
      </c>
      <c r="L93" s="15">
        <v>0.03</v>
      </c>
      <c r="M93" s="15">
        <v>0.2</v>
      </c>
      <c r="N93" s="70">
        <f t="shared" si="62"/>
        <v>0.10089552238805971</v>
      </c>
      <c r="O93" s="53">
        <f t="shared" si="81"/>
        <v>3.0168971086122003</v>
      </c>
      <c r="P93" s="25">
        <f t="shared" si="63"/>
        <v>0.87175661128523652</v>
      </c>
      <c r="Q93" s="15">
        <f t="shared" si="64"/>
        <v>1</v>
      </c>
      <c r="S93" s="109">
        <v>0.15</v>
      </c>
      <c r="T93" s="70">
        <f>S93</f>
        <v>0.15</v>
      </c>
      <c r="V93" s="15">
        <v>0.7</v>
      </c>
      <c r="W93" s="25">
        <f>(V93+K93)/2</f>
        <v>0.47666666666666668</v>
      </c>
      <c r="X93" s="15" t="s">
        <v>223</v>
      </c>
      <c r="Y93" s="15">
        <v>0.1</v>
      </c>
      <c r="Z93" s="25">
        <f t="shared" si="82"/>
        <v>2.0681751877423347</v>
      </c>
      <c r="AA93" s="15" t="s">
        <v>223</v>
      </c>
      <c r="AB93" s="15">
        <v>2</v>
      </c>
      <c r="AC93" s="15">
        <v>0.1</v>
      </c>
      <c r="AD93" s="75"/>
      <c r="AE93" s="108">
        <v>8.1</v>
      </c>
      <c r="AF93" s="131">
        <f t="shared" si="65"/>
        <v>0.68553056776063326</v>
      </c>
      <c r="AH93" s="15">
        <v>45</v>
      </c>
      <c r="AI93" s="57">
        <f t="shared" si="66"/>
        <v>0.13076349169278548</v>
      </c>
      <c r="AJ93" s="57">
        <f t="shared" si="67"/>
        <v>0.7599595893195189</v>
      </c>
      <c r="AK93" s="57">
        <f t="shared" si="68"/>
        <v>2.2499999999999999E-2</v>
      </c>
      <c r="AL93" s="53">
        <f t="shared" si="69"/>
        <v>7.0612285514104158</v>
      </c>
      <c r="AM93" s="53">
        <f t="shared" si="70"/>
        <v>65.61</v>
      </c>
      <c r="AN93" s="80">
        <f t="shared" si="71"/>
        <v>0.87175661128523652</v>
      </c>
      <c r="AO93" s="80">
        <f t="shared" si="72"/>
        <v>1</v>
      </c>
      <c r="AP93" s="145">
        <f t="shared" si="73"/>
        <v>1.8029453932104655</v>
      </c>
      <c r="AQ93" s="145">
        <f t="shared" si="74"/>
        <v>4.2773486071930416</v>
      </c>
      <c r="AR93" s="100">
        <f t="shared" si="75"/>
        <v>8.7175661128523652E-2</v>
      </c>
      <c r="AS93" s="100">
        <f t="shared" si="76"/>
        <v>1.0000000000000002E-2</v>
      </c>
      <c r="AT93" s="25">
        <f t="shared" si="77"/>
        <v>0.65381745846392736</v>
      </c>
      <c r="AU93" s="25">
        <f t="shared" si="78"/>
        <v>0.5625</v>
      </c>
      <c r="AV93" s="53"/>
      <c r="AW93" s="53"/>
      <c r="AX93" s="100"/>
      <c r="AY93" s="100"/>
    </row>
    <row r="94" spans="1:96" s="107" customFormat="1" ht="14">
      <c r="A94" s="16" t="s">
        <v>198</v>
      </c>
      <c r="B94" s="14">
        <v>5</v>
      </c>
      <c r="C94" s="14">
        <v>4</v>
      </c>
      <c r="D94" s="22" t="s">
        <v>3</v>
      </c>
      <c r="E94" s="15">
        <f t="shared" si="59"/>
        <v>2.166666666666667</v>
      </c>
      <c r="F94" s="15"/>
      <c r="G94" s="25">
        <f t="shared" si="92"/>
        <v>-1</v>
      </c>
      <c r="H94" s="15">
        <v>0.75</v>
      </c>
      <c r="I94" s="15">
        <v>0.75</v>
      </c>
      <c r="J94" s="25">
        <f t="shared" si="60"/>
        <v>0.64</v>
      </c>
      <c r="K94" s="57">
        <f t="shared" si="61"/>
        <v>0.85333333333333339</v>
      </c>
      <c r="L94" s="15">
        <v>0.05</v>
      </c>
      <c r="M94" s="15">
        <v>0.2</v>
      </c>
      <c r="N94" s="70">
        <f t="shared" si="62"/>
        <v>0.10149253731343284</v>
      </c>
      <c r="O94" s="53">
        <f t="shared" si="81"/>
        <v>40.196880230272377</v>
      </c>
      <c r="P94" s="25">
        <f t="shared" si="63"/>
        <v>6.5427963188529739E-2</v>
      </c>
      <c r="Q94" s="15">
        <f t="shared" si="64"/>
        <v>0.61111111111111094</v>
      </c>
      <c r="R94" s="15">
        <v>30</v>
      </c>
      <c r="S94" s="109">
        <v>0.79</v>
      </c>
      <c r="T94" s="15">
        <f>(R94/100+S94)/2</f>
        <v>0.54500000000000004</v>
      </c>
      <c r="U94" s="15">
        <v>5.6000000000000001E-2</v>
      </c>
      <c r="V94" s="15">
        <v>0.5</v>
      </c>
      <c r="W94" s="15">
        <f>(V94+U94+J94)/3</f>
        <v>0.39866666666666672</v>
      </c>
      <c r="X94" s="15" t="s">
        <v>223</v>
      </c>
      <c r="Y94" s="15">
        <v>0.3</v>
      </c>
      <c r="Z94" s="25">
        <f t="shared" si="82"/>
        <v>2.138315818571253</v>
      </c>
      <c r="AA94" s="15"/>
      <c r="AB94" s="15">
        <v>45.3</v>
      </c>
      <c r="AC94" s="15"/>
      <c r="AD94" s="75"/>
      <c r="AE94" s="108">
        <v>3.6</v>
      </c>
      <c r="AF94" s="131">
        <f t="shared" si="65"/>
        <v>5.3196064130391935E-2</v>
      </c>
      <c r="AG94" s="15">
        <v>1</v>
      </c>
      <c r="AH94" s="15">
        <v>29</v>
      </c>
      <c r="AI94" s="57">
        <f t="shared" si="66"/>
        <v>5.1688090918938494E-2</v>
      </c>
      <c r="AJ94" s="57">
        <f t="shared" si="67"/>
        <v>4.2808183669996031E-3</v>
      </c>
      <c r="AK94" s="57">
        <f t="shared" si="68"/>
        <v>0.6241000000000001</v>
      </c>
      <c r="AL94" s="53">
        <f t="shared" si="69"/>
        <v>0.23554066747870706</v>
      </c>
      <c r="AM94" s="53">
        <f t="shared" si="70"/>
        <v>12.96</v>
      </c>
      <c r="AN94" s="80">
        <f t="shared" si="71"/>
        <v>0.14176058690848112</v>
      </c>
      <c r="AO94" s="80">
        <f t="shared" si="72"/>
        <v>4.6944444444444455</v>
      </c>
      <c r="AP94" s="145">
        <f t="shared" si="73"/>
        <v>0.13990564866293079</v>
      </c>
      <c r="AQ94" s="145">
        <f t="shared" si="74"/>
        <v>4.5723945399520476</v>
      </c>
      <c r="AR94" s="100">
        <f t="shared" si="75"/>
        <v>0</v>
      </c>
      <c r="AS94" s="100">
        <f t="shared" si="76"/>
        <v>0</v>
      </c>
      <c r="AT94" s="25">
        <f t="shared" si="77"/>
        <v>4.9070972391397308E-2</v>
      </c>
      <c r="AU94" s="25">
        <f t="shared" si="78"/>
        <v>0.5625</v>
      </c>
      <c r="AV94" s="53"/>
      <c r="AW94" s="53"/>
      <c r="AX94" s="100">
        <f>P94*R94</f>
        <v>1.9628388956558922</v>
      </c>
      <c r="AY94" s="100">
        <f>R94*R94</f>
        <v>900</v>
      </c>
    </row>
    <row r="95" spans="1:96" s="33" customFormat="1" ht="14">
      <c r="A95" s="54" t="s">
        <v>92</v>
      </c>
      <c r="B95" s="55">
        <v>4</v>
      </c>
      <c r="C95" s="55">
        <v>5</v>
      </c>
      <c r="D95" s="56" t="s">
        <v>3</v>
      </c>
      <c r="E95" s="57">
        <f t="shared" si="59"/>
        <v>2.166666666666667</v>
      </c>
      <c r="F95" s="57"/>
      <c r="G95" s="57">
        <f t="shared" si="92"/>
        <v>-1</v>
      </c>
      <c r="H95" s="57">
        <v>0.75</v>
      </c>
      <c r="I95" s="57">
        <v>0.75</v>
      </c>
      <c r="J95" s="57">
        <f t="shared" si="60"/>
        <v>0.61199999999999999</v>
      </c>
      <c r="K95" s="57">
        <f t="shared" si="61"/>
        <v>0.81599999999999995</v>
      </c>
      <c r="L95" s="57">
        <v>0.57999999999999996</v>
      </c>
      <c r="M95" s="57">
        <v>0.2</v>
      </c>
      <c r="N95" s="57">
        <f t="shared" si="62"/>
        <v>0.11731343283582091</v>
      </c>
      <c r="O95" s="57">
        <f t="shared" si="81"/>
        <v>38.366285972154927</v>
      </c>
      <c r="P95" s="57">
        <f t="shared" si="63"/>
        <v>6.8549767937109499E-2</v>
      </c>
      <c r="Q95" s="57">
        <f t="shared" si="64"/>
        <v>0.61111111111111094</v>
      </c>
      <c r="R95" s="57"/>
      <c r="S95" s="57">
        <f>1-0.771</f>
        <v>0.22899999999999998</v>
      </c>
      <c r="T95" s="70">
        <f>S95</f>
        <v>0.22899999999999998</v>
      </c>
      <c r="U95" s="57">
        <v>6.8000000000000005E-2</v>
      </c>
      <c r="V95" s="57">
        <v>0.43</v>
      </c>
      <c r="W95" s="57">
        <f>(V95+U95+J95)/3</f>
        <v>0.36999999999999994</v>
      </c>
      <c r="X95" s="57" t="s">
        <v>225</v>
      </c>
      <c r="Y95" s="57">
        <v>0.1</v>
      </c>
      <c r="Z95" s="57">
        <f t="shared" si="82"/>
        <v>1.5329081251223311</v>
      </c>
      <c r="AA95" s="57" t="s">
        <v>223</v>
      </c>
      <c r="AB95" s="57">
        <v>2.2000000000000002</v>
      </c>
      <c r="AC95" s="57">
        <v>3.58</v>
      </c>
      <c r="AD95" s="57"/>
      <c r="AE95" s="57">
        <v>3.88</v>
      </c>
      <c r="AF95" s="131">
        <f t="shared" si="65"/>
        <v>3.995456131028343E-2</v>
      </c>
      <c r="AG95" s="57">
        <v>1</v>
      </c>
      <c r="AH95" s="57">
        <v>18</v>
      </c>
      <c r="AI95" s="57">
        <f t="shared" si="66"/>
        <v>1.5697896857598075E-2</v>
      </c>
      <c r="AJ95" s="57">
        <f t="shared" si="67"/>
        <v>4.6990706842315651E-3</v>
      </c>
      <c r="AK95" s="57">
        <f t="shared" si="68"/>
        <v>5.2440999999999995E-2</v>
      </c>
      <c r="AL95" s="53">
        <f t="shared" si="69"/>
        <v>0.26597309959598486</v>
      </c>
      <c r="AM95" s="53">
        <f t="shared" si="70"/>
        <v>15.054399999999999</v>
      </c>
      <c r="AN95" s="80">
        <f t="shared" si="71"/>
        <v>0.14852449719707059</v>
      </c>
      <c r="AO95" s="80">
        <f t="shared" si="72"/>
        <v>4.6944444444444455</v>
      </c>
      <c r="AP95" s="145">
        <f t="shared" si="73"/>
        <v>0.1050804962460454</v>
      </c>
      <c r="AQ95" s="145">
        <f t="shared" si="74"/>
        <v>2.3498073200660601</v>
      </c>
      <c r="AR95" s="100">
        <f t="shared" si="75"/>
        <v>0.24540816921485201</v>
      </c>
      <c r="AS95" s="100">
        <f t="shared" si="76"/>
        <v>12.8164</v>
      </c>
      <c r="AT95" s="25">
        <f t="shared" si="77"/>
        <v>5.1412325952832127E-2</v>
      </c>
      <c r="AU95" s="25">
        <f t="shared" si="78"/>
        <v>0.5625</v>
      </c>
      <c r="AV95" s="53"/>
      <c r="AW95" s="53"/>
      <c r="AX95" s="100"/>
      <c r="AY95" s="100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  <c r="BM95" s="18"/>
      <c r="BN95" s="18"/>
      <c r="BO95" s="18"/>
      <c r="BP95" s="18"/>
      <c r="BQ95" s="18"/>
      <c r="BR95" s="18"/>
      <c r="BS95" s="18"/>
      <c r="BT95" s="18"/>
      <c r="BU95" s="18"/>
      <c r="BV95" s="18"/>
      <c r="BW95" s="18"/>
      <c r="BX95" s="18"/>
      <c r="BY95" s="18"/>
      <c r="BZ95" s="18"/>
      <c r="CA95" s="18"/>
      <c r="CB95" s="18"/>
      <c r="CC95" s="18"/>
      <c r="CD95" s="18"/>
      <c r="CE95" s="18"/>
      <c r="CF95" s="18"/>
      <c r="CG95" s="18"/>
      <c r="CH95" s="18"/>
      <c r="CI95" s="18"/>
      <c r="CJ95" s="18"/>
      <c r="CK95" s="18"/>
      <c r="CL95" s="18"/>
      <c r="CM95" s="18"/>
      <c r="CN95" s="18"/>
      <c r="CO95" s="18"/>
      <c r="CP95" s="18"/>
      <c r="CQ95" s="18"/>
      <c r="CR95" s="18"/>
    </row>
    <row r="96" spans="1:96" s="13" customFormat="1" ht="14">
      <c r="A96" s="16" t="s">
        <v>93</v>
      </c>
      <c r="B96" s="14">
        <v>5</v>
      </c>
      <c r="C96" s="14">
        <v>5</v>
      </c>
      <c r="D96" s="22" t="s">
        <v>3</v>
      </c>
      <c r="E96" s="15">
        <f t="shared" si="59"/>
        <v>2.333333333333333</v>
      </c>
      <c r="F96" s="15">
        <v>27.9</v>
      </c>
      <c r="G96" s="25">
        <f t="shared" si="92"/>
        <v>1.1445799999999999</v>
      </c>
      <c r="H96" s="15">
        <f>(G96+I96)/2</f>
        <v>0.94728999999999997</v>
      </c>
      <c r="I96" s="15">
        <v>0.75</v>
      </c>
      <c r="J96" s="25">
        <f t="shared" si="60"/>
        <v>0.56900000000000006</v>
      </c>
      <c r="K96" s="57">
        <f t="shared" si="61"/>
        <v>0.75866666666666671</v>
      </c>
      <c r="L96" s="15">
        <v>0.06</v>
      </c>
      <c r="M96" s="15">
        <v>0.2</v>
      </c>
      <c r="N96" s="70">
        <f t="shared" si="62"/>
        <v>0.1017910447761194</v>
      </c>
      <c r="O96" s="53">
        <f t="shared" si="81"/>
        <v>67.902849062416806</v>
      </c>
      <c r="P96" s="25">
        <f t="shared" si="63"/>
        <v>3.8731806342654107E-2</v>
      </c>
      <c r="Q96" s="15">
        <f t="shared" si="64"/>
        <v>0.55555555555555558</v>
      </c>
      <c r="R96" s="15">
        <v>33.4</v>
      </c>
      <c r="S96" s="15">
        <v>0.40200000000000002</v>
      </c>
      <c r="T96" s="15">
        <f>(R96/100+S96)/2</f>
        <v>0.36799999999999999</v>
      </c>
      <c r="U96" s="15"/>
      <c r="V96" s="15">
        <v>0.43</v>
      </c>
      <c r="W96" s="25">
        <f>(V96+K96)/2</f>
        <v>0.59433333333333338</v>
      </c>
      <c r="X96" s="15">
        <f>66/123</f>
        <v>0.53658536585365857</v>
      </c>
      <c r="Y96" s="15">
        <f>X96</f>
        <v>0.53658536585365857</v>
      </c>
      <c r="Z96" s="25">
        <f t="shared" si="82"/>
        <v>2.2995940575939358</v>
      </c>
      <c r="AA96" s="15">
        <v>33.700000000000003</v>
      </c>
      <c r="AB96" s="15">
        <v>8.6</v>
      </c>
      <c r="AC96" s="15">
        <v>5.4</v>
      </c>
      <c r="AD96" s="75"/>
      <c r="AE96" s="15">
        <v>4.3099999999999996</v>
      </c>
      <c r="AF96" s="131">
        <f t="shared" si="65"/>
        <v>3.3865943614238211E-2</v>
      </c>
      <c r="AG96" s="53">
        <v>1</v>
      </c>
      <c r="AH96" s="53">
        <v>27</v>
      </c>
      <c r="AI96" s="57">
        <f t="shared" si="66"/>
        <v>1.5570186149746952E-2</v>
      </c>
      <c r="AJ96" s="57">
        <f t="shared" si="67"/>
        <v>1.5001528225648609E-3</v>
      </c>
      <c r="AK96" s="57">
        <f t="shared" si="68"/>
        <v>0.16160400000000003</v>
      </c>
      <c r="AL96" s="53">
        <f t="shared" si="69"/>
        <v>0.16693408533683918</v>
      </c>
      <c r="AM96" s="53">
        <f t="shared" si="70"/>
        <v>18.576099999999997</v>
      </c>
      <c r="AN96" s="80">
        <f t="shared" si="71"/>
        <v>9.0374214799526245E-2</v>
      </c>
      <c r="AO96" s="80">
        <f t="shared" si="72"/>
        <v>5.4444444444444429</v>
      </c>
      <c r="AP96" s="145">
        <f t="shared" si="73"/>
        <v>8.9067431705446495E-2</v>
      </c>
      <c r="AQ96" s="145">
        <f t="shared" si="74"/>
        <v>5.2881328297213415</v>
      </c>
      <c r="AR96" s="100">
        <f t="shared" si="75"/>
        <v>0.20915175425033219</v>
      </c>
      <c r="AS96" s="100">
        <f t="shared" si="76"/>
        <v>29.160000000000004</v>
      </c>
      <c r="AT96" s="25">
        <f t="shared" si="77"/>
        <v>3.6690252830332809E-2</v>
      </c>
      <c r="AU96" s="25">
        <f t="shared" si="78"/>
        <v>0.89735834409999993</v>
      </c>
      <c r="AV96" s="53">
        <f>AA96*P96</f>
        <v>1.3052618737474435</v>
      </c>
      <c r="AW96" s="53">
        <f>AA96^2</f>
        <v>1135.6900000000003</v>
      </c>
      <c r="AX96" s="100">
        <f>P96*R96</f>
        <v>1.2936423318446471</v>
      </c>
      <c r="AY96" s="100">
        <f>R96*R96</f>
        <v>1115.56</v>
      </c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</row>
    <row r="97" spans="1:96" s="25" customFormat="1" ht="14">
      <c r="A97" s="16" t="s">
        <v>94</v>
      </c>
      <c r="B97" s="14">
        <v>7</v>
      </c>
      <c r="C97" s="14">
        <v>6</v>
      </c>
      <c r="D97" s="22" t="s">
        <v>4</v>
      </c>
      <c r="E97" s="15">
        <f t="shared" si="59"/>
        <v>2.833333333333333</v>
      </c>
      <c r="F97" s="15">
        <v>30.3</v>
      </c>
      <c r="G97" s="25">
        <f t="shared" si="92"/>
        <v>1.3290600000000001</v>
      </c>
      <c r="H97" s="15">
        <f>(G97+I97)/2</f>
        <v>0.99953000000000003</v>
      </c>
      <c r="I97" s="15">
        <v>0.67</v>
      </c>
      <c r="J97" s="25">
        <f t="shared" si="60"/>
        <v>0.79</v>
      </c>
      <c r="K97" s="57">
        <f t="shared" si="61"/>
        <v>1.0533333333333335</v>
      </c>
      <c r="L97" s="15">
        <v>0.05</v>
      </c>
      <c r="M97" s="15">
        <v>0.2</v>
      </c>
      <c r="N97" s="70">
        <f t="shared" si="62"/>
        <v>0.10149253731343284</v>
      </c>
      <c r="O97" s="53">
        <f t="shared" si="81"/>
        <v>447.64848832685362</v>
      </c>
      <c r="P97" s="25">
        <f t="shared" si="63"/>
        <v>5.8751454960341279E-3</v>
      </c>
      <c r="Q97" s="15">
        <f t="shared" si="64"/>
        <v>0.38888888888888895</v>
      </c>
      <c r="R97" s="15">
        <v>36.700000000000003</v>
      </c>
      <c r="S97" s="15">
        <v>0.503</v>
      </c>
      <c r="T97" s="15">
        <f>(R97/100+S97)/2</f>
        <v>0.43500000000000005</v>
      </c>
      <c r="U97" s="15"/>
      <c r="V97" s="15">
        <v>0.17</v>
      </c>
      <c r="W97" s="25">
        <f>(V97+K97)/2</f>
        <v>0.61166666666666669</v>
      </c>
      <c r="X97" s="15">
        <f>-28/146</f>
        <v>-0.19178082191780821</v>
      </c>
      <c r="Y97" s="15">
        <f>X97</f>
        <v>-0.19178082191780821</v>
      </c>
      <c r="Z97" s="25">
        <f t="shared" si="82"/>
        <v>1.3943879957562619</v>
      </c>
      <c r="AA97" s="15">
        <v>26</v>
      </c>
      <c r="AB97" s="15">
        <v>2.5</v>
      </c>
      <c r="AC97" s="15">
        <v>6.5</v>
      </c>
      <c r="AD97" s="75"/>
      <c r="AE97" s="15">
        <v>2.1</v>
      </c>
      <c r="AF97" s="131">
        <f t="shared" si="65"/>
        <v>3.1149172444834439E-3</v>
      </c>
      <c r="AG97" s="15"/>
      <c r="AH97" s="15">
        <v>49</v>
      </c>
      <c r="AI97" s="57">
        <f t="shared" si="66"/>
        <v>2.9551981845051664E-3</v>
      </c>
      <c r="AJ97" s="57">
        <f t="shared" si="67"/>
        <v>3.4517334599570099E-5</v>
      </c>
      <c r="AK97" s="57">
        <f t="shared" si="68"/>
        <v>0.25300899999999998</v>
      </c>
      <c r="AL97" s="53">
        <f t="shared" si="69"/>
        <v>1.233780554167167E-2</v>
      </c>
      <c r="AM97" s="53">
        <f t="shared" si="70"/>
        <v>4.41</v>
      </c>
      <c r="AN97" s="80">
        <f t="shared" si="71"/>
        <v>1.6646245572096693E-2</v>
      </c>
      <c r="AO97" s="80">
        <f t="shared" si="72"/>
        <v>8.0277777777777768</v>
      </c>
      <c r="AP97" s="145">
        <f t="shared" si="73"/>
        <v>8.1922323529914562E-3</v>
      </c>
      <c r="AQ97" s="145">
        <f t="shared" si="74"/>
        <v>1.9443178827091652</v>
      </c>
      <c r="AR97" s="100">
        <f t="shared" si="75"/>
        <v>3.818844572422183E-2</v>
      </c>
      <c r="AS97" s="100">
        <f t="shared" si="76"/>
        <v>42.25</v>
      </c>
      <c r="AT97" s="25">
        <f t="shared" si="77"/>
        <v>5.8723841776509916E-3</v>
      </c>
      <c r="AU97" s="25">
        <f t="shared" si="78"/>
        <v>0.99906022090000002</v>
      </c>
      <c r="AV97" s="53">
        <f>AA97*P97</f>
        <v>0.15275378289688732</v>
      </c>
      <c r="AW97" s="53">
        <f>AA97^2</f>
        <v>676</v>
      </c>
      <c r="AX97" s="100">
        <f>P97*R97</f>
        <v>0.2156178397044525</v>
      </c>
      <c r="AY97" s="100">
        <f>R97*R97</f>
        <v>1346.89</v>
      </c>
    </row>
    <row r="98" spans="1:96" s="25" customFormat="1" ht="14">
      <c r="A98" s="46" t="s">
        <v>95</v>
      </c>
      <c r="B98" s="47">
        <v>2</v>
      </c>
      <c r="C98" s="47">
        <v>2</v>
      </c>
      <c r="D98" s="48" t="s">
        <v>8</v>
      </c>
      <c r="E98" s="49">
        <f t="shared" si="59"/>
        <v>1.3333333333333333</v>
      </c>
      <c r="F98" s="49">
        <v>27.6</v>
      </c>
      <c r="G98" s="49">
        <f t="shared" si="92"/>
        <v>1.1215199999999999</v>
      </c>
      <c r="H98" s="49">
        <f>(G98+I98)/2</f>
        <v>0.93575999999999993</v>
      </c>
      <c r="I98" s="49">
        <v>0.75</v>
      </c>
      <c r="J98" s="49">
        <f t="shared" si="60"/>
        <v>0.29500000000000004</v>
      </c>
      <c r="K98" s="49">
        <f t="shared" si="61"/>
        <v>0.39333333333333337</v>
      </c>
      <c r="L98" s="49">
        <v>0.09</v>
      </c>
      <c r="M98" s="49">
        <v>0.2</v>
      </c>
      <c r="N98" s="49">
        <f t="shared" si="62"/>
        <v>0.10268656716417911</v>
      </c>
      <c r="O98" s="49">
        <f t="shared" si="81"/>
        <v>6.7466080490400309</v>
      </c>
      <c r="P98" s="49">
        <f t="shared" si="63"/>
        <v>0.38982552134093817</v>
      </c>
      <c r="Q98" s="49">
        <f t="shared" si="64"/>
        <v>0.88888888888888895</v>
      </c>
      <c r="R98" s="49">
        <v>35.200000000000003</v>
      </c>
      <c r="S98" s="49">
        <f>1-0.769</f>
        <v>0.23099999999999998</v>
      </c>
      <c r="T98" s="49">
        <f>(R98/100+S98)/2</f>
        <v>0.29149999999999998</v>
      </c>
      <c r="U98" s="49">
        <v>0.44800000000000001</v>
      </c>
      <c r="V98" s="49">
        <v>0.6</v>
      </c>
      <c r="W98" s="49">
        <f>(V98+U98+J98)/3</f>
        <v>0.44766666666666666</v>
      </c>
      <c r="X98" s="49">
        <f>-25/97</f>
        <v>-0.25773195876288657</v>
      </c>
      <c r="Y98" s="49">
        <f>X98</f>
        <v>-0.25773195876288657</v>
      </c>
      <c r="Z98" s="49">
        <f t="shared" si="82"/>
        <v>1.5340970433511678</v>
      </c>
      <c r="AA98" s="49" t="s">
        <v>223</v>
      </c>
      <c r="AB98" s="49">
        <v>13</v>
      </c>
      <c r="AC98" s="49">
        <v>2</v>
      </c>
      <c r="AD98" s="49"/>
      <c r="AE98" s="49">
        <v>7.05</v>
      </c>
      <c r="AF98" s="131">
        <f t="shared" si="65"/>
        <v>0.22738790103116382</v>
      </c>
      <c r="AG98" s="49">
        <v>1</v>
      </c>
      <c r="AH98" s="49">
        <v>27</v>
      </c>
      <c r="AI98" s="57">
        <f t="shared" si="66"/>
        <v>9.0049695429756715E-2</v>
      </c>
      <c r="AJ98" s="57">
        <f t="shared" si="67"/>
        <v>0.15196393708873424</v>
      </c>
      <c r="AK98" s="57">
        <f t="shared" si="68"/>
        <v>5.3360999999999992E-2</v>
      </c>
      <c r="AL98" s="53">
        <f t="shared" si="69"/>
        <v>2.7482699254536143</v>
      </c>
      <c r="AM98" s="53">
        <f t="shared" si="70"/>
        <v>49.702500000000001</v>
      </c>
      <c r="AN98" s="80">
        <f t="shared" si="71"/>
        <v>0.51976736178791749</v>
      </c>
      <c r="AO98" s="80">
        <f t="shared" si="72"/>
        <v>1.7777777777777777</v>
      </c>
      <c r="AP98" s="145">
        <f t="shared" si="73"/>
        <v>0.59803017971196082</v>
      </c>
      <c r="AQ98" s="145">
        <f t="shared" si="74"/>
        <v>2.353453738418795</v>
      </c>
      <c r="AR98" s="100">
        <f t="shared" si="75"/>
        <v>0.77965104268187635</v>
      </c>
      <c r="AS98" s="100">
        <f t="shared" si="76"/>
        <v>4</v>
      </c>
      <c r="AT98" s="25">
        <f t="shared" si="77"/>
        <v>0.36478312984999628</v>
      </c>
      <c r="AU98" s="25">
        <f t="shared" si="78"/>
        <v>0.87564677759999987</v>
      </c>
      <c r="AV98" s="53"/>
      <c r="AW98" s="53"/>
      <c r="AX98" s="100">
        <f>P98*R98</f>
        <v>13.721858351201025</v>
      </c>
      <c r="AY98" s="100">
        <f>R98*R98</f>
        <v>1239.0400000000002</v>
      </c>
    </row>
    <row r="99" spans="1:96" s="15" customFormat="1" ht="14">
      <c r="A99" s="16" t="s">
        <v>96</v>
      </c>
      <c r="B99" s="14">
        <v>5</v>
      </c>
      <c r="C99" s="14">
        <v>3</v>
      </c>
      <c r="D99" s="22" t="s">
        <v>3</v>
      </c>
      <c r="E99" s="15">
        <f t="shared" si="59"/>
        <v>2</v>
      </c>
      <c r="G99" s="25">
        <f t="shared" si="92"/>
        <v>-1</v>
      </c>
      <c r="H99" s="15">
        <v>0.67</v>
      </c>
      <c r="I99" s="15">
        <v>0.75</v>
      </c>
      <c r="J99" s="25">
        <f t="shared" si="60"/>
        <v>0.41799999999999993</v>
      </c>
      <c r="K99" s="57">
        <f t="shared" si="61"/>
        <v>0.55733333333333324</v>
      </c>
      <c r="L99" s="15">
        <v>0.14000000000000001</v>
      </c>
      <c r="M99" s="15">
        <v>0.2</v>
      </c>
      <c r="N99" s="70">
        <f t="shared" si="62"/>
        <v>0.10417910447761194</v>
      </c>
      <c r="O99" s="53">
        <f t="shared" si="81"/>
        <v>14.339599065663961</v>
      </c>
      <c r="P99" s="25">
        <f t="shared" si="63"/>
        <v>0.18340819627917707</v>
      </c>
      <c r="Q99" s="15">
        <f t="shared" si="64"/>
        <v>0.66666666666666674</v>
      </c>
      <c r="S99" s="109">
        <v>0.53</v>
      </c>
      <c r="T99" s="70">
        <f>S99</f>
        <v>0.53</v>
      </c>
      <c r="U99" s="15">
        <v>1.371</v>
      </c>
      <c r="V99" s="15">
        <v>0.85</v>
      </c>
      <c r="W99" s="15">
        <f>(V99+U99+J99)/3</f>
        <v>0.87966666666666671</v>
      </c>
      <c r="X99" s="15">
        <f>13/137</f>
        <v>9.4890510948905105E-2</v>
      </c>
      <c r="Y99" s="15">
        <f>X99</f>
        <v>9.4890510948905105E-2</v>
      </c>
      <c r="Z99" s="25">
        <f t="shared" si="82"/>
        <v>2.7265528483336641</v>
      </c>
      <c r="AA99" s="15">
        <v>28</v>
      </c>
      <c r="AC99" s="15">
        <v>4.3</v>
      </c>
      <c r="AD99" s="75"/>
      <c r="AE99" s="15">
        <v>5.82</v>
      </c>
      <c r="AF99" s="131">
        <f t="shared" si="65"/>
        <v>0.19014149808849048</v>
      </c>
      <c r="AG99" s="82">
        <v>1</v>
      </c>
      <c r="AH99" s="82">
        <v>17</v>
      </c>
      <c r="AI99" s="57">
        <f t="shared" si="66"/>
        <v>9.7206344027963854E-2</v>
      </c>
      <c r="AJ99" s="57">
        <f t="shared" si="67"/>
        <v>3.3638566462381142E-2</v>
      </c>
      <c r="AK99" s="57">
        <f t="shared" si="68"/>
        <v>0.28090000000000004</v>
      </c>
      <c r="AL99" s="53">
        <f t="shared" si="69"/>
        <v>1.0674357023448107</v>
      </c>
      <c r="AM99" s="53">
        <f t="shared" si="70"/>
        <v>33.872400000000006</v>
      </c>
      <c r="AN99" s="80">
        <f t="shared" si="71"/>
        <v>0.36681639255835413</v>
      </c>
      <c r="AO99" s="80">
        <f t="shared" si="72"/>
        <v>4</v>
      </c>
      <c r="AP99" s="145">
        <f t="shared" si="73"/>
        <v>0.50007213997272992</v>
      </c>
      <c r="AQ99" s="145">
        <f t="shared" si="74"/>
        <v>7.434090434756417</v>
      </c>
      <c r="AR99" s="100">
        <f t="shared" si="75"/>
        <v>0.78865524400046139</v>
      </c>
      <c r="AS99" s="100">
        <f t="shared" si="76"/>
        <v>18.489999999999998</v>
      </c>
      <c r="AT99" s="25">
        <f t="shared" si="77"/>
        <v>0.12288349150704864</v>
      </c>
      <c r="AU99" s="25">
        <f t="shared" si="78"/>
        <v>0.44890000000000008</v>
      </c>
      <c r="AV99" s="53">
        <f>AA99*P99</f>
        <v>5.1354294958169575</v>
      </c>
      <c r="AW99" s="53">
        <f>AA99^2</f>
        <v>784</v>
      </c>
      <c r="AX99" s="100"/>
      <c r="AY99" s="100"/>
    </row>
    <row r="100" spans="1:96" s="25" customFormat="1" ht="14">
      <c r="A100" s="16" t="s">
        <v>97</v>
      </c>
      <c r="B100" s="14">
        <v>3</v>
      </c>
      <c r="C100" s="14">
        <v>3</v>
      </c>
      <c r="D100" s="22" t="s">
        <v>3</v>
      </c>
      <c r="E100" s="15">
        <f t="shared" ref="E100:E131" si="97">1+(-2+B100+C100)/6</f>
        <v>1.6666666666666665</v>
      </c>
      <c r="F100" s="15">
        <v>39.4</v>
      </c>
      <c r="G100" s="25">
        <f t="shared" si="92"/>
        <v>2.0285466666666663</v>
      </c>
      <c r="H100" s="15">
        <f>(G100+I100)/2</f>
        <v>1.3892733333333331</v>
      </c>
      <c r="I100" s="15">
        <v>0.75</v>
      </c>
      <c r="J100" s="25">
        <f t="shared" ref="J100:J131" si="98">1-AE100/10</f>
        <v>0.39800000000000002</v>
      </c>
      <c r="K100" s="57">
        <f t="shared" ref="K100:K131" si="99">4*J100/3</f>
        <v>0.53066666666666673</v>
      </c>
      <c r="L100" s="15">
        <v>0.04</v>
      </c>
      <c r="M100" s="15">
        <v>0.2</v>
      </c>
      <c r="N100" s="70">
        <f t="shared" ref="N100:N131" si="100">(L100/16.75+M100)/2</f>
        <v>0.10119402985074627</v>
      </c>
      <c r="O100" s="53">
        <f t="shared" si="81"/>
        <v>29.036588768805206</v>
      </c>
      <c r="P100" s="25">
        <f t="shared" ref="P100:P131" si="101">2.63/O100</f>
        <v>9.0575377877220906E-2</v>
      </c>
      <c r="Q100" s="15">
        <f t="shared" ref="Q100:Q131" si="102">1-(E100-1)/3</f>
        <v>0.77777777777777779</v>
      </c>
      <c r="R100" s="15">
        <v>63.2</v>
      </c>
      <c r="S100" s="15">
        <v>0.57299999999999995</v>
      </c>
      <c r="T100" s="15">
        <f>(R100/100+S100)/2</f>
        <v>0.60250000000000004</v>
      </c>
      <c r="U100" s="15"/>
      <c r="V100" s="15">
        <v>0.48</v>
      </c>
      <c r="W100" s="25">
        <f>(V100+K100)/2</f>
        <v>0.50533333333333341</v>
      </c>
      <c r="X100" s="15">
        <f>46/89</f>
        <v>0.5168539325842697</v>
      </c>
      <c r="Y100" s="15">
        <f>X100</f>
        <v>0.5168539325842697</v>
      </c>
      <c r="Z100" s="25">
        <f t="shared" si="82"/>
        <v>3.5382974009699137</v>
      </c>
      <c r="AA100" s="15">
        <v>49</v>
      </c>
      <c r="AB100" s="15">
        <v>45</v>
      </c>
      <c r="AC100" s="15">
        <v>2.194</v>
      </c>
      <c r="AD100" s="75"/>
      <c r="AE100" s="15">
        <v>6.02</v>
      </c>
      <c r="AF100" s="131">
        <f t="shared" ref="AF100:AF131" si="103">Z100/O100</f>
        <v>0.12185651107788538</v>
      </c>
      <c r="AG100" s="15">
        <v>1</v>
      </c>
      <c r="AH100" s="15">
        <v>58</v>
      </c>
      <c r="AI100" s="57">
        <f t="shared" ref="AI100:AI131" si="104">P100*S100</f>
        <v>5.1899691523647574E-2</v>
      </c>
      <c r="AJ100" s="57">
        <f t="shared" ref="AJ100:AJ131" si="105">P100*P100</f>
        <v>8.2038990776013582E-3</v>
      </c>
      <c r="AK100" s="57">
        <f t="shared" ref="AK100:AK131" si="106">S100*S100</f>
        <v>0.32832899999999993</v>
      </c>
      <c r="AL100" s="53">
        <f t="shared" ref="AL100:AL131" si="107">AE100*P100</f>
        <v>0.54526377482086985</v>
      </c>
      <c r="AM100" s="53">
        <f t="shared" ref="AM100:AM131" si="108">AE100^2</f>
        <v>36.240399999999994</v>
      </c>
      <c r="AN100" s="80">
        <f t="shared" ref="AN100:AN131" si="109">P100*E100</f>
        <v>0.1509589631287015</v>
      </c>
      <c r="AO100" s="80">
        <f t="shared" ref="AO100:AO131" si="110">E100^2</f>
        <v>2.7777777777777772</v>
      </c>
      <c r="AP100" s="145">
        <f t="shared" ref="AP100:AP131" si="111">Z100*P100</f>
        <v>0.32048262413483858</v>
      </c>
      <c r="AQ100" s="145">
        <f t="shared" ref="AQ100:AQ131" si="112">Z100*Z100</f>
        <v>12.519548497710447</v>
      </c>
      <c r="AR100" s="100">
        <f t="shared" ref="AR100:AR131" si="113">AC100*P100</f>
        <v>0.19872237906262266</v>
      </c>
      <c r="AS100" s="100">
        <f t="shared" ref="AS100:AS131" si="114">AC100^2</f>
        <v>4.8136359999999998</v>
      </c>
      <c r="AT100" s="25">
        <f t="shared" ref="AT100:AT131" si="115">H100*P100</f>
        <v>0.12583395714141293</v>
      </c>
      <c r="AU100" s="25">
        <f t="shared" ref="AU100:AU131" si="116">H100^2</f>
        <v>1.9300803947111105</v>
      </c>
      <c r="AV100" s="53">
        <f>AA100*P100</f>
        <v>4.4381935159838246</v>
      </c>
      <c r="AW100" s="53">
        <f>AA100^2</f>
        <v>2401</v>
      </c>
      <c r="AX100" s="100">
        <f>P100*R100</f>
        <v>5.7243638818403619</v>
      </c>
      <c r="AY100" s="100">
        <f>R100*R100</f>
        <v>3994.2400000000002</v>
      </c>
    </row>
    <row r="101" spans="1:96" s="39" customFormat="1" ht="14">
      <c r="A101" s="71" t="s">
        <v>98</v>
      </c>
      <c r="B101" s="72">
        <v>3</v>
      </c>
      <c r="C101" s="72">
        <v>4</v>
      </c>
      <c r="D101" s="73" t="s">
        <v>3</v>
      </c>
      <c r="E101" s="74">
        <f t="shared" si="97"/>
        <v>1.8333333333333335</v>
      </c>
      <c r="F101" s="74">
        <v>30.1</v>
      </c>
      <c r="G101" s="74">
        <f t="shared" si="92"/>
        <v>1.3136866666666669</v>
      </c>
      <c r="H101" s="74">
        <f>(G101+I101)/2</f>
        <v>1.0318433333333334</v>
      </c>
      <c r="I101" s="74">
        <v>0.75</v>
      </c>
      <c r="J101" s="74">
        <f t="shared" si="98"/>
        <v>0.49299999999999999</v>
      </c>
      <c r="K101" s="74">
        <f t="shared" si="99"/>
        <v>0.65733333333333333</v>
      </c>
      <c r="L101" s="74">
        <v>0.08</v>
      </c>
      <c r="M101" s="74">
        <v>0.2</v>
      </c>
      <c r="N101" s="74">
        <f t="shared" si="100"/>
        <v>0.10238805970149255</v>
      </c>
      <c r="O101" s="74">
        <f t="shared" ref="O101:O132" si="117">EXP(E101*(H101+K101+N101))</f>
        <v>26.69657637889231</v>
      </c>
      <c r="P101" s="74">
        <f t="shared" si="101"/>
        <v>9.85145047317533E-2</v>
      </c>
      <c r="Q101" s="74">
        <f t="shared" si="102"/>
        <v>0.7222222222222221</v>
      </c>
      <c r="R101" s="74">
        <v>38.200000000000003</v>
      </c>
      <c r="S101" s="74">
        <v>0.7</v>
      </c>
      <c r="T101" s="74">
        <f>(R101/100+S101)/2</f>
        <v>0.54099999999999993</v>
      </c>
      <c r="U101" s="74"/>
      <c r="V101" s="74">
        <v>0.31</v>
      </c>
      <c r="W101" s="25">
        <f>(V101+K101)/2</f>
        <v>0.48366666666666669</v>
      </c>
      <c r="X101" s="74" t="s">
        <v>223</v>
      </c>
      <c r="Y101" s="74">
        <v>0.1</v>
      </c>
      <c r="Z101" s="74">
        <f t="shared" ref="Z101:Z132" si="118">EXP(Q101*(Y101+W101+T101))</f>
        <v>2.252992334877058</v>
      </c>
      <c r="AA101" s="74">
        <v>80</v>
      </c>
      <c r="AB101" s="74">
        <v>85</v>
      </c>
      <c r="AC101" s="74">
        <v>3.48</v>
      </c>
      <c r="AD101" s="74"/>
      <c r="AE101" s="74">
        <v>5.07</v>
      </c>
      <c r="AF101" s="131">
        <f t="shared" si="103"/>
        <v>8.4392556667243296E-2</v>
      </c>
      <c r="AG101" s="74">
        <v>1</v>
      </c>
      <c r="AH101" s="74">
        <v>55</v>
      </c>
      <c r="AI101" s="57">
        <f t="shared" si="104"/>
        <v>6.896015331222731E-2</v>
      </c>
      <c r="AJ101" s="57">
        <f t="shared" si="105"/>
        <v>9.7051076425426434E-3</v>
      </c>
      <c r="AK101" s="57">
        <f t="shared" si="106"/>
        <v>0.48999999999999994</v>
      </c>
      <c r="AL101" s="53">
        <f t="shared" si="107"/>
        <v>0.49946853898998927</v>
      </c>
      <c r="AM101" s="53">
        <f t="shared" si="108"/>
        <v>25.704900000000002</v>
      </c>
      <c r="AN101" s="80">
        <f t="shared" si="109"/>
        <v>0.18060992534154774</v>
      </c>
      <c r="AO101" s="80">
        <f t="shared" si="110"/>
        <v>3.3611111111111116</v>
      </c>
      <c r="AP101" s="145">
        <f t="shared" si="111"/>
        <v>0.22195242403484985</v>
      </c>
      <c r="AQ101" s="145">
        <f t="shared" si="112"/>
        <v>5.075974461014777</v>
      </c>
      <c r="AR101" s="100">
        <f t="shared" si="113"/>
        <v>0.3428304764665015</v>
      </c>
      <c r="AS101" s="100">
        <f t="shared" si="114"/>
        <v>12.1104</v>
      </c>
      <c r="AT101" s="25">
        <f t="shared" si="115"/>
        <v>0.10165153494409478</v>
      </c>
      <c r="AU101" s="25">
        <f t="shared" si="116"/>
        <v>1.0647006645444448</v>
      </c>
      <c r="AV101" s="53">
        <f>AA101*P101</f>
        <v>7.8811603785402635</v>
      </c>
      <c r="AW101" s="53">
        <f>AA101^2</f>
        <v>6400</v>
      </c>
      <c r="AX101" s="100">
        <f>P101*R101</f>
        <v>3.7632540807529762</v>
      </c>
      <c r="AY101" s="100">
        <f>R101*R101</f>
        <v>1459.2400000000002</v>
      </c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N101" s="15"/>
      <c r="CO101" s="15"/>
      <c r="CP101" s="15"/>
      <c r="CQ101" s="15"/>
      <c r="CR101" s="15"/>
    </row>
    <row r="102" spans="1:96" s="49" customFormat="1" ht="14">
      <c r="A102" s="96" t="s">
        <v>99</v>
      </c>
      <c r="B102" s="97">
        <v>4</v>
      </c>
      <c r="C102" s="97">
        <v>3</v>
      </c>
      <c r="D102" s="98" t="s">
        <v>3</v>
      </c>
      <c r="E102" s="99">
        <f t="shared" si="97"/>
        <v>1.8333333333333335</v>
      </c>
      <c r="F102" s="99" t="s">
        <v>225</v>
      </c>
      <c r="G102" s="99" t="s">
        <v>225</v>
      </c>
      <c r="H102" s="99">
        <v>1</v>
      </c>
      <c r="I102" s="99">
        <v>1</v>
      </c>
      <c r="J102" s="99">
        <f t="shared" si="98"/>
        <v>0.48199999999999998</v>
      </c>
      <c r="K102" s="57">
        <f t="shared" si="99"/>
        <v>0.64266666666666661</v>
      </c>
      <c r="L102" s="99">
        <v>0.48</v>
      </c>
      <c r="M102" s="99">
        <v>0.2</v>
      </c>
      <c r="N102" s="70">
        <f t="shared" si="100"/>
        <v>0.11432835820895523</v>
      </c>
      <c r="O102" s="99">
        <f t="shared" si="117"/>
        <v>25.057108146071617</v>
      </c>
      <c r="P102" s="99">
        <f t="shared" si="101"/>
        <v>0.10496023661901799</v>
      </c>
      <c r="Q102" s="99">
        <f t="shared" si="102"/>
        <v>0.7222222222222221</v>
      </c>
      <c r="R102" s="99" t="s">
        <v>225</v>
      </c>
      <c r="S102" s="99">
        <f>1-0.755</f>
        <v>0.245</v>
      </c>
      <c r="T102" s="99">
        <f>S102</f>
        <v>0.245</v>
      </c>
      <c r="U102" s="99">
        <v>0.47</v>
      </c>
      <c r="V102" s="99">
        <v>0.57999999999999996</v>
      </c>
      <c r="W102" s="99">
        <f>(V102+U102+J102)/3</f>
        <v>0.5106666666666666</v>
      </c>
      <c r="X102" s="99" t="s">
        <v>225</v>
      </c>
      <c r="Y102" s="99">
        <v>0.3</v>
      </c>
      <c r="Z102" s="99">
        <f t="shared" si="118"/>
        <v>2.1434698173104154</v>
      </c>
      <c r="AA102" s="99">
        <v>33</v>
      </c>
      <c r="AB102" s="99">
        <v>30</v>
      </c>
      <c r="AC102" s="99">
        <v>6.4</v>
      </c>
      <c r="AD102" s="99"/>
      <c r="AE102" s="99">
        <v>5.18</v>
      </c>
      <c r="AF102" s="131">
        <f t="shared" si="103"/>
        <v>8.5543383730275466E-2</v>
      </c>
      <c r="AG102" s="18">
        <v>1</v>
      </c>
      <c r="AH102" s="18">
        <v>53</v>
      </c>
      <c r="AI102" s="57">
        <f t="shared" si="104"/>
        <v>2.5715257971659407E-2</v>
      </c>
      <c r="AJ102" s="57">
        <f t="shared" si="105"/>
        <v>1.1016651271120245E-2</v>
      </c>
      <c r="AK102" s="57">
        <f t="shared" si="106"/>
        <v>6.0024999999999995E-2</v>
      </c>
      <c r="AL102" s="53">
        <f t="shared" si="107"/>
        <v>0.54369402568651315</v>
      </c>
      <c r="AM102" s="53">
        <f t="shared" si="108"/>
        <v>26.832399999999996</v>
      </c>
      <c r="AN102" s="80">
        <f t="shared" si="109"/>
        <v>0.19242710046819966</v>
      </c>
      <c r="AO102" s="80">
        <f t="shared" si="110"/>
        <v>3.3611111111111116</v>
      </c>
      <c r="AP102" s="145">
        <f t="shared" si="111"/>
        <v>0.22497909921062445</v>
      </c>
      <c r="AQ102" s="145">
        <f t="shared" si="112"/>
        <v>4.594462857720746</v>
      </c>
      <c r="AR102" s="100">
        <f t="shared" si="113"/>
        <v>0.67174551436171515</v>
      </c>
      <c r="AS102" s="100">
        <f t="shared" si="114"/>
        <v>40.960000000000008</v>
      </c>
      <c r="AT102" s="25">
        <f t="shared" si="115"/>
        <v>0.10496023661901799</v>
      </c>
      <c r="AU102" s="25">
        <f t="shared" si="116"/>
        <v>1</v>
      </c>
      <c r="AV102" s="53">
        <f>AA102*P102</f>
        <v>3.4636878084275935</v>
      </c>
      <c r="AW102" s="53">
        <f>AA102^2</f>
        <v>1089</v>
      </c>
      <c r="AX102" s="100"/>
      <c r="AY102" s="100"/>
    </row>
    <row r="103" spans="1:96" s="13" customFormat="1" ht="14">
      <c r="A103" s="67" t="s">
        <v>100</v>
      </c>
      <c r="B103" s="68">
        <v>1</v>
      </c>
      <c r="C103" s="68">
        <v>1</v>
      </c>
      <c r="D103" s="69" t="s">
        <v>8</v>
      </c>
      <c r="E103" s="70">
        <f t="shared" si="97"/>
        <v>1</v>
      </c>
      <c r="F103" s="70"/>
      <c r="G103" s="70">
        <f t="shared" ref="G103:G134" si="119">1.153*F103/15-1</f>
        <v>-1</v>
      </c>
      <c r="H103" s="70">
        <v>0.67</v>
      </c>
      <c r="I103" s="70">
        <v>0.67</v>
      </c>
      <c r="J103" s="70">
        <f t="shared" si="98"/>
        <v>0.19000000000000006</v>
      </c>
      <c r="K103" s="70">
        <f t="shared" si="99"/>
        <v>0.25333333333333341</v>
      </c>
      <c r="L103" s="70">
        <v>0</v>
      </c>
      <c r="M103" s="70">
        <v>0.2</v>
      </c>
      <c r="N103" s="70">
        <f t="shared" si="100"/>
        <v>0.1</v>
      </c>
      <c r="O103" s="70">
        <f t="shared" si="117"/>
        <v>2.7824541702811847</v>
      </c>
      <c r="P103" s="70">
        <f t="shared" si="101"/>
        <v>0.94520873985652087</v>
      </c>
      <c r="Q103" s="70">
        <f t="shared" si="102"/>
        <v>1</v>
      </c>
      <c r="R103" s="70"/>
      <c r="S103" s="70">
        <f>1-0.891</f>
        <v>0.10899999999999999</v>
      </c>
      <c r="T103" s="70">
        <f>S103</f>
        <v>0.10899999999999999</v>
      </c>
      <c r="U103" s="70"/>
      <c r="V103" s="70">
        <v>1.05</v>
      </c>
      <c r="W103" s="25">
        <f>(V103+K103)/2</f>
        <v>0.65166666666666673</v>
      </c>
      <c r="X103" s="70" t="s">
        <v>223</v>
      </c>
      <c r="Y103" s="70">
        <v>0.1</v>
      </c>
      <c r="Z103" s="70">
        <f t="shared" si="118"/>
        <v>2.3647366594318049</v>
      </c>
      <c r="AA103" s="70" t="s">
        <v>223</v>
      </c>
      <c r="AB103" s="70">
        <v>2.8</v>
      </c>
      <c r="AC103" s="70">
        <v>3.5999999999999997E-2</v>
      </c>
      <c r="AD103" s="70"/>
      <c r="AE103" s="111">
        <v>8.1</v>
      </c>
      <c r="AF103" s="131">
        <f t="shared" si="103"/>
        <v>0.84987443268215024</v>
      </c>
      <c r="AG103" s="70">
        <v>1</v>
      </c>
      <c r="AH103" s="70">
        <v>23</v>
      </c>
      <c r="AI103" s="57">
        <f t="shared" si="104"/>
        <v>0.10302775264436076</v>
      </c>
      <c r="AJ103" s="57">
        <f t="shared" si="105"/>
        <v>0.89341956190115213</v>
      </c>
      <c r="AK103" s="57">
        <f t="shared" si="106"/>
        <v>1.1880999999999997E-2</v>
      </c>
      <c r="AL103" s="53">
        <f t="shared" si="107"/>
        <v>7.656190792837819</v>
      </c>
      <c r="AM103" s="53">
        <f t="shared" si="108"/>
        <v>65.61</v>
      </c>
      <c r="AN103" s="80">
        <f t="shared" si="109"/>
        <v>0.94520873985652087</v>
      </c>
      <c r="AO103" s="80">
        <f t="shared" si="110"/>
        <v>1</v>
      </c>
      <c r="AP103" s="145">
        <f t="shared" si="111"/>
        <v>2.235169757954055</v>
      </c>
      <c r="AQ103" s="145">
        <f t="shared" si="112"/>
        <v>5.5919794684606918</v>
      </c>
      <c r="AR103" s="100">
        <f t="shared" si="113"/>
        <v>3.4027514634834749E-2</v>
      </c>
      <c r="AS103" s="100">
        <f t="shared" si="114"/>
        <v>1.2959999999999998E-3</v>
      </c>
      <c r="AT103" s="25">
        <f t="shared" si="115"/>
        <v>0.63328985570386898</v>
      </c>
      <c r="AU103" s="25">
        <f t="shared" si="116"/>
        <v>0.44890000000000008</v>
      </c>
      <c r="AV103" s="53"/>
      <c r="AW103" s="53"/>
      <c r="AX103" s="100"/>
      <c r="AY103" s="100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/>
      <c r="CO103" s="15"/>
      <c r="CP103" s="15"/>
      <c r="CQ103" s="15"/>
      <c r="CR103" s="15"/>
    </row>
    <row r="104" spans="1:96" s="107" customFormat="1" ht="14">
      <c r="A104" s="46" t="s">
        <v>101</v>
      </c>
      <c r="B104" s="47">
        <v>1</v>
      </c>
      <c r="C104" s="47">
        <v>1</v>
      </c>
      <c r="D104" s="48" t="s">
        <v>8</v>
      </c>
      <c r="E104" s="49">
        <f t="shared" si="97"/>
        <v>1</v>
      </c>
      <c r="F104" s="49">
        <v>29.1</v>
      </c>
      <c r="G104" s="49">
        <f t="shared" si="119"/>
        <v>1.2368200000000003</v>
      </c>
      <c r="H104" s="49">
        <f t="shared" ref="H104:H109" si="120">(G104+I104)/2</f>
        <v>0.99341000000000013</v>
      </c>
      <c r="I104" s="49">
        <v>0.75</v>
      </c>
      <c r="J104" s="49">
        <f t="shared" si="98"/>
        <v>0.27600000000000002</v>
      </c>
      <c r="K104" s="49">
        <f t="shared" si="99"/>
        <v>0.36800000000000005</v>
      </c>
      <c r="L104" s="49">
        <v>0.1</v>
      </c>
      <c r="M104" s="49">
        <v>0.2</v>
      </c>
      <c r="N104" s="49">
        <f t="shared" si="100"/>
        <v>0.10298507462686568</v>
      </c>
      <c r="O104" s="49">
        <f t="shared" si="117"/>
        <v>4.3249261912308787</v>
      </c>
      <c r="P104" s="49">
        <f t="shared" si="101"/>
        <v>0.60810286319626161</v>
      </c>
      <c r="Q104" s="49">
        <f t="shared" si="102"/>
        <v>1</v>
      </c>
      <c r="R104" s="49">
        <v>35.5</v>
      </c>
      <c r="S104" s="49">
        <f>1-0.783</f>
        <v>0.21699999999999997</v>
      </c>
      <c r="T104" s="49">
        <f t="shared" ref="T104:T109" si="121">(R104/100+S104)/2</f>
        <v>0.28599999999999998</v>
      </c>
      <c r="U104" s="49">
        <v>0.377</v>
      </c>
      <c r="V104" s="49">
        <v>0.42</v>
      </c>
      <c r="W104" s="49">
        <f>(V104+U104+J104)/3</f>
        <v>0.35766666666666663</v>
      </c>
      <c r="X104" s="49">
        <f>-14/105</f>
        <v>-0.13333333333333333</v>
      </c>
      <c r="Y104" s="49">
        <f>X104</f>
        <v>-0.13333333333333333</v>
      </c>
      <c r="Z104" s="49">
        <f t="shared" si="118"/>
        <v>1.6658463845373261</v>
      </c>
      <c r="AA104" s="49">
        <v>4</v>
      </c>
      <c r="AB104" s="49">
        <v>15.6</v>
      </c>
      <c r="AC104" s="49">
        <v>3.1920000000000002</v>
      </c>
      <c r="AD104" s="49"/>
      <c r="AE104" s="49">
        <v>7.24</v>
      </c>
      <c r="AF104" s="131">
        <f t="shared" si="103"/>
        <v>0.38517336733166874</v>
      </c>
      <c r="AG104" s="49">
        <v>1</v>
      </c>
      <c r="AH104" s="49">
        <v>27</v>
      </c>
      <c r="AI104" s="57">
        <f t="shared" si="104"/>
        <v>0.13195832131358876</v>
      </c>
      <c r="AJ104" s="57">
        <f t="shared" si="105"/>
        <v>0.36978909222749129</v>
      </c>
      <c r="AK104" s="57">
        <f t="shared" si="106"/>
        <v>4.7088999999999985E-2</v>
      </c>
      <c r="AL104" s="53">
        <f t="shared" si="107"/>
        <v>4.402664729540934</v>
      </c>
      <c r="AM104" s="53">
        <f t="shared" si="108"/>
        <v>52.4176</v>
      </c>
      <c r="AN104" s="80">
        <f t="shared" si="109"/>
        <v>0.60810286319626161</v>
      </c>
      <c r="AO104" s="80">
        <f t="shared" si="110"/>
        <v>1</v>
      </c>
      <c r="AP104" s="145">
        <f t="shared" si="111"/>
        <v>1.0130059560822886</v>
      </c>
      <c r="AQ104" s="145">
        <f t="shared" si="112"/>
        <v>2.7750441768760812</v>
      </c>
      <c r="AR104" s="100">
        <f t="shared" si="113"/>
        <v>1.9410643393224671</v>
      </c>
      <c r="AS104" s="100">
        <f t="shared" si="114"/>
        <v>10.188864000000001</v>
      </c>
      <c r="AT104" s="25">
        <f t="shared" si="115"/>
        <v>0.60409546532779834</v>
      </c>
      <c r="AU104" s="25">
        <f t="shared" si="116"/>
        <v>0.98686342810000027</v>
      </c>
      <c r="AV104" s="53">
        <f>AA104*P104</f>
        <v>2.4324114527850464</v>
      </c>
      <c r="AW104" s="53">
        <f>AA104^2</f>
        <v>16</v>
      </c>
      <c r="AX104" s="100">
        <f t="shared" ref="AX104:AX109" si="122">P104*R104</f>
        <v>21.587651643467286</v>
      </c>
      <c r="AY104" s="100">
        <f t="shared" ref="AY104:AY109" si="123">R104*R104</f>
        <v>1260.25</v>
      </c>
    </row>
    <row r="105" spans="1:96" s="107" customFormat="1" ht="14">
      <c r="A105" s="67" t="s">
        <v>102</v>
      </c>
      <c r="B105" s="68">
        <v>1</v>
      </c>
      <c r="C105" s="68">
        <v>1</v>
      </c>
      <c r="D105" s="69" t="s">
        <v>8</v>
      </c>
      <c r="E105" s="70">
        <f t="shared" si="97"/>
        <v>1</v>
      </c>
      <c r="F105" s="70">
        <v>23.8</v>
      </c>
      <c r="G105" s="70">
        <f t="shared" si="119"/>
        <v>0.82942666666666676</v>
      </c>
      <c r="H105" s="70">
        <f t="shared" si="120"/>
        <v>0.74971333333333345</v>
      </c>
      <c r="I105" s="70">
        <v>0.67</v>
      </c>
      <c r="J105" s="70">
        <f t="shared" si="98"/>
        <v>0.11199999999999988</v>
      </c>
      <c r="K105" s="70">
        <f t="shared" si="99"/>
        <v>0.14933333333333318</v>
      </c>
      <c r="L105" s="70">
        <v>0.2</v>
      </c>
      <c r="M105" s="70">
        <v>0.2</v>
      </c>
      <c r="N105" s="70">
        <f t="shared" si="100"/>
        <v>0.10597014925373135</v>
      </c>
      <c r="O105" s="70">
        <f t="shared" si="117"/>
        <v>2.7319532127474218</v>
      </c>
      <c r="P105" s="70">
        <f t="shared" si="101"/>
        <v>0.96268120102800314</v>
      </c>
      <c r="Q105" s="70">
        <f t="shared" si="102"/>
        <v>1</v>
      </c>
      <c r="R105" s="70">
        <v>26</v>
      </c>
      <c r="S105" s="70">
        <f>1-0.852</f>
        <v>0.14800000000000002</v>
      </c>
      <c r="T105" s="70">
        <f t="shared" si="121"/>
        <v>0.20400000000000001</v>
      </c>
      <c r="U105" s="70">
        <v>0.20399999999999999</v>
      </c>
      <c r="V105" s="70">
        <v>0.64</v>
      </c>
      <c r="W105" s="70">
        <f>(V105+U105+J105)/3</f>
        <v>0.3186666666666666</v>
      </c>
      <c r="X105" s="70">
        <f>-1/113</f>
        <v>-8.8495575221238937E-3</v>
      </c>
      <c r="Y105" s="70">
        <f>X105</f>
        <v>-8.8495575221238937E-3</v>
      </c>
      <c r="Z105" s="70">
        <f t="shared" si="118"/>
        <v>1.6716599405601147</v>
      </c>
      <c r="AA105" s="70" t="s">
        <v>223</v>
      </c>
      <c r="AB105" s="70">
        <v>6</v>
      </c>
      <c r="AC105" s="70">
        <v>0.51100000000000001</v>
      </c>
      <c r="AD105" s="70"/>
      <c r="AE105" s="70">
        <v>8.8800000000000008</v>
      </c>
      <c r="AF105" s="131">
        <f t="shared" si="103"/>
        <v>0.61189186284745689</v>
      </c>
      <c r="AG105" s="70">
        <v>1</v>
      </c>
      <c r="AH105" s="70">
        <v>23</v>
      </c>
      <c r="AI105" s="57">
        <f t="shared" si="104"/>
        <v>0.14247681775214449</v>
      </c>
      <c r="AJ105" s="57">
        <f t="shared" si="105"/>
        <v>0.92675509481271856</v>
      </c>
      <c r="AK105" s="57">
        <f t="shared" si="106"/>
        <v>2.1904000000000007E-2</v>
      </c>
      <c r="AL105" s="53">
        <f t="shared" si="107"/>
        <v>8.5486090651286695</v>
      </c>
      <c r="AM105" s="53">
        <f t="shared" si="108"/>
        <v>78.854400000000012</v>
      </c>
      <c r="AN105" s="80">
        <f t="shared" si="109"/>
        <v>0.96268120102800314</v>
      </c>
      <c r="AO105" s="80">
        <f t="shared" si="110"/>
        <v>1</v>
      </c>
      <c r="AP105" s="145">
        <f t="shared" si="111"/>
        <v>1.6092755992888115</v>
      </c>
      <c r="AQ105" s="145">
        <f t="shared" si="112"/>
        <v>2.794446956873446</v>
      </c>
      <c r="AR105" s="100">
        <f t="shared" si="113"/>
        <v>0.4919300937253096</v>
      </c>
      <c r="AS105" s="100">
        <f t="shared" si="114"/>
        <v>0.26112099999999999</v>
      </c>
      <c r="AT105" s="25">
        <f t="shared" si="115"/>
        <v>0.72173493216004114</v>
      </c>
      <c r="AU105" s="25">
        <f t="shared" si="116"/>
        <v>0.56207008217777799</v>
      </c>
      <c r="AV105" s="53"/>
      <c r="AW105" s="53"/>
      <c r="AX105" s="100">
        <f t="shared" si="122"/>
        <v>25.029711226728082</v>
      </c>
      <c r="AY105" s="100">
        <f t="shared" si="123"/>
        <v>676</v>
      </c>
    </row>
    <row r="106" spans="1:96" s="13" customFormat="1" ht="14">
      <c r="A106" s="16" t="s">
        <v>103</v>
      </c>
      <c r="B106" s="14">
        <v>3</v>
      </c>
      <c r="C106" s="14">
        <v>3</v>
      </c>
      <c r="D106" s="22" t="s">
        <v>3</v>
      </c>
      <c r="E106" s="15">
        <f t="shared" si="97"/>
        <v>1.6666666666666665</v>
      </c>
      <c r="F106" s="15">
        <v>34.5</v>
      </c>
      <c r="G106" s="25">
        <f t="shared" si="119"/>
        <v>1.6518999999999999</v>
      </c>
      <c r="H106" s="15">
        <f t="shared" si="120"/>
        <v>1.20095</v>
      </c>
      <c r="I106" s="15">
        <v>0.75</v>
      </c>
      <c r="J106" s="25">
        <f t="shared" si="98"/>
        <v>0.38400000000000001</v>
      </c>
      <c r="K106" s="57">
        <f t="shared" si="99"/>
        <v>0.51200000000000001</v>
      </c>
      <c r="L106" s="15">
        <v>0.06</v>
      </c>
      <c r="M106" s="15">
        <v>0.2</v>
      </c>
      <c r="N106" s="70">
        <f t="shared" si="100"/>
        <v>0.1017910447761194</v>
      </c>
      <c r="O106" s="53">
        <f t="shared" si="117"/>
        <v>20.58511842045916</v>
      </c>
      <c r="P106" s="25">
        <f t="shared" si="101"/>
        <v>0.12776219919075582</v>
      </c>
      <c r="Q106" s="15">
        <f t="shared" si="102"/>
        <v>0.77777777777777779</v>
      </c>
      <c r="R106" s="15">
        <v>44.2</v>
      </c>
      <c r="S106" s="15">
        <f>0.299</f>
        <v>0.29899999999999999</v>
      </c>
      <c r="T106" s="15">
        <f t="shared" si="121"/>
        <v>0.3705</v>
      </c>
      <c r="U106" s="15">
        <v>0.28199999999999997</v>
      </c>
      <c r="V106" s="15">
        <v>0.9</v>
      </c>
      <c r="W106" s="15">
        <f>(V106+U106+J106)/3</f>
        <v>0.52199999999999991</v>
      </c>
      <c r="X106" s="15">
        <f>17/115</f>
        <v>0.14782608695652175</v>
      </c>
      <c r="Y106" s="15">
        <f>X106</f>
        <v>0.14782608695652175</v>
      </c>
      <c r="Z106" s="25">
        <f t="shared" si="118"/>
        <v>2.2459812589174932</v>
      </c>
      <c r="AA106" s="15">
        <v>30.9</v>
      </c>
      <c r="AB106" s="15">
        <v>29.1</v>
      </c>
      <c r="AC106" s="15">
        <v>2.1</v>
      </c>
      <c r="AD106" s="75"/>
      <c r="AE106" s="15">
        <v>6.16</v>
      </c>
      <c r="AF106" s="131">
        <f t="shared" si="103"/>
        <v>0.10910703611426664</v>
      </c>
      <c r="AG106" s="39">
        <v>1</v>
      </c>
      <c r="AH106" s="39">
        <v>29</v>
      </c>
      <c r="AI106" s="57">
        <f t="shared" si="104"/>
        <v>3.820089755803599E-2</v>
      </c>
      <c r="AJ106" s="57">
        <f t="shared" si="105"/>
        <v>1.6323179542058367E-2</v>
      </c>
      <c r="AK106" s="57">
        <f t="shared" si="106"/>
        <v>8.9400999999999994E-2</v>
      </c>
      <c r="AL106" s="53">
        <f t="shared" si="107"/>
        <v>0.78701514701505593</v>
      </c>
      <c r="AM106" s="53">
        <f t="shared" si="108"/>
        <v>37.945599999999999</v>
      </c>
      <c r="AN106" s="80">
        <f t="shared" si="109"/>
        <v>0.21293699865125967</v>
      </c>
      <c r="AO106" s="80">
        <f t="shared" si="110"/>
        <v>2.7777777777777772</v>
      </c>
      <c r="AP106" s="145">
        <f t="shared" si="111"/>
        <v>0.2869515049805213</v>
      </c>
      <c r="AQ106" s="145">
        <f t="shared" si="112"/>
        <v>5.0444318154086076</v>
      </c>
      <c r="AR106" s="100">
        <f t="shared" si="113"/>
        <v>0.26830061830058721</v>
      </c>
      <c r="AS106" s="100">
        <f t="shared" si="114"/>
        <v>4.41</v>
      </c>
      <c r="AT106" s="25">
        <f t="shared" si="115"/>
        <v>0.1534360131181382</v>
      </c>
      <c r="AU106" s="25">
        <f t="shared" si="116"/>
        <v>1.4422809024999999</v>
      </c>
      <c r="AV106" s="53">
        <f t="shared" ref="AV106:AV111" si="124">AA106*P106</f>
        <v>3.9478519549943547</v>
      </c>
      <c r="AW106" s="53">
        <f t="shared" ref="AW106:AW111" si="125">AA106^2</f>
        <v>954.81</v>
      </c>
      <c r="AX106" s="100">
        <f t="shared" si="122"/>
        <v>5.647089204231408</v>
      </c>
      <c r="AY106" s="100">
        <f t="shared" si="123"/>
        <v>1953.6400000000003</v>
      </c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5"/>
      <c r="CK106" s="15"/>
      <c r="CL106" s="15"/>
      <c r="CM106" s="15"/>
      <c r="CN106" s="15"/>
      <c r="CO106" s="15"/>
      <c r="CP106" s="15"/>
      <c r="CQ106" s="15"/>
      <c r="CR106" s="15"/>
    </row>
    <row r="107" spans="1:96" s="19" customFormat="1" ht="14">
      <c r="A107" s="16" t="s">
        <v>104</v>
      </c>
      <c r="B107" s="14">
        <v>6</v>
      </c>
      <c r="C107" s="14">
        <v>4</v>
      </c>
      <c r="D107" s="22" t="s">
        <v>3</v>
      </c>
      <c r="E107" s="15">
        <f t="shared" si="97"/>
        <v>2.333333333333333</v>
      </c>
      <c r="F107" s="15">
        <v>41.5</v>
      </c>
      <c r="G107" s="25">
        <f t="shared" si="119"/>
        <v>2.1899666666666664</v>
      </c>
      <c r="H107" s="15">
        <f t="shared" si="120"/>
        <v>1.4299833333333332</v>
      </c>
      <c r="I107" s="15">
        <v>0.67</v>
      </c>
      <c r="J107" s="25">
        <f t="shared" si="98"/>
        <v>0.60599999999999998</v>
      </c>
      <c r="K107" s="57">
        <f t="shared" si="99"/>
        <v>0.80799999999999994</v>
      </c>
      <c r="L107" s="15">
        <v>0.08</v>
      </c>
      <c r="M107" s="15">
        <v>0.2</v>
      </c>
      <c r="N107" s="70">
        <f t="shared" si="100"/>
        <v>0.10238805970149255</v>
      </c>
      <c r="O107" s="53">
        <f t="shared" si="117"/>
        <v>235.30124427312737</v>
      </c>
      <c r="P107" s="25">
        <f t="shared" si="101"/>
        <v>1.1177161464336378E-2</v>
      </c>
      <c r="Q107" s="15">
        <f t="shared" si="102"/>
        <v>0.55555555555555558</v>
      </c>
      <c r="R107" s="15">
        <v>47.5</v>
      </c>
      <c r="S107" s="15">
        <v>0.56499999999999995</v>
      </c>
      <c r="T107" s="15">
        <f t="shared" si="121"/>
        <v>0.52</v>
      </c>
      <c r="U107" s="15"/>
      <c r="V107" s="15">
        <v>0.67</v>
      </c>
      <c r="W107" s="25">
        <f>(V107+K107)/2</f>
        <v>0.73899999999999999</v>
      </c>
      <c r="X107" s="15">
        <f>-12/116</f>
        <v>-0.10344827586206896</v>
      </c>
      <c r="Y107" s="15">
        <f>X107</f>
        <v>-0.10344827586206896</v>
      </c>
      <c r="Z107" s="25">
        <f t="shared" si="118"/>
        <v>1.9002266719380652</v>
      </c>
      <c r="AA107" s="15">
        <v>50</v>
      </c>
      <c r="AB107" s="15"/>
      <c r="AC107" s="15">
        <v>21</v>
      </c>
      <c r="AD107" s="75"/>
      <c r="AE107" s="15">
        <v>3.94</v>
      </c>
      <c r="AF107" s="131">
        <f t="shared" si="103"/>
        <v>8.075718757068558E-3</v>
      </c>
      <c r="AG107" s="15">
        <v>1</v>
      </c>
      <c r="AH107" s="15">
        <v>54</v>
      </c>
      <c r="AI107" s="57">
        <f t="shared" si="104"/>
        <v>6.3150962273500529E-3</v>
      </c>
      <c r="AJ107" s="57">
        <f t="shared" si="105"/>
        <v>1.2492893839984612E-4</v>
      </c>
      <c r="AK107" s="57">
        <f t="shared" si="106"/>
        <v>0.31922499999999993</v>
      </c>
      <c r="AL107" s="53">
        <f t="shared" si="107"/>
        <v>4.4038016169485328E-2</v>
      </c>
      <c r="AM107" s="53">
        <f t="shared" si="108"/>
        <v>15.5236</v>
      </c>
      <c r="AN107" s="80">
        <f t="shared" si="109"/>
        <v>2.6080043416784878E-2</v>
      </c>
      <c r="AO107" s="80">
        <f t="shared" si="110"/>
        <v>5.4444444444444429</v>
      </c>
      <c r="AP107" s="145">
        <f t="shared" si="111"/>
        <v>2.1239140331090308E-2</v>
      </c>
      <c r="AQ107" s="145">
        <f t="shared" si="112"/>
        <v>3.6108614047448153</v>
      </c>
      <c r="AR107" s="100">
        <f t="shared" si="113"/>
        <v>0.23472039075106393</v>
      </c>
      <c r="AS107" s="100">
        <f t="shared" si="114"/>
        <v>441</v>
      </c>
      <c r="AT107" s="25">
        <f t="shared" si="115"/>
        <v>1.5983154607976613E-2</v>
      </c>
      <c r="AU107" s="25">
        <f t="shared" si="116"/>
        <v>2.0448523336111104</v>
      </c>
      <c r="AV107" s="53">
        <f t="shared" si="124"/>
        <v>0.55885807321681891</v>
      </c>
      <c r="AW107" s="53">
        <f t="shared" si="125"/>
        <v>2500</v>
      </c>
      <c r="AX107" s="100">
        <f t="shared" si="122"/>
        <v>0.53091516955597795</v>
      </c>
      <c r="AY107" s="100">
        <f t="shared" si="123"/>
        <v>2256.25</v>
      </c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</row>
    <row r="108" spans="1:96" s="53" customFormat="1" ht="14">
      <c r="A108" s="50" t="s">
        <v>105</v>
      </c>
      <c r="B108" s="51">
        <v>3</v>
      </c>
      <c r="C108" s="51">
        <v>4</v>
      </c>
      <c r="D108" s="52" t="s">
        <v>3</v>
      </c>
      <c r="E108" s="53">
        <f t="shared" si="97"/>
        <v>1.8333333333333335</v>
      </c>
      <c r="F108" s="53">
        <v>32</v>
      </c>
      <c r="G108" s="25">
        <f t="shared" si="119"/>
        <v>1.4597333333333333</v>
      </c>
      <c r="H108" s="53">
        <f t="shared" si="120"/>
        <v>1.1048666666666667</v>
      </c>
      <c r="I108" s="53">
        <v>0.75</v>
      </c>
      <c r="J108" s="25">
        <f t="shared" si="98"/>
        <v>0.41600000000000004</v>
      </c>
      <c r="K108" s="57">
        <f t="shared" si="99"/>
        <v>0.55466666666666675</v>
      </c>
      <c r="L108" s="53">
        <v>0.06</v>
      </c>
      <c r="M108" s="126">
        <v>0.2</v>
      </c>
      <c r="N108" s="70">
        <f t="shared" si="100"/>
        <v>0.1017910447761194</v>
      </c>
      <c r="O108" s="53">
        <f t="shared" si="117"/>
        <v>25.256781481852467</v>
      </c>
      <c r="P108" s="25">
        <f t="shared" si="101"/>
        <v>0.10413044915836607</v>
      </c>
      <c r="Q108" s="53">
        <f t="shared" si="102"/>
        <v>0.7222222222222221</v>
      </c>
      <c r="R108" s="53">
        <v>39</v>
      </c>
      <c r="S108" s="53">
        <f>1-0.385</f>
        <v>0.61499999999999999</v>
      </c>
      <c r="T108" s="53">
        <f t="shared" si="121"/>
        <v>0.50249999999999995</v>
      </c>
      <c r="U108" s="53">
        <v>0.36799999999999999</v>
      </c>
      <c r="V108" s="53">
        <f>1-0.46</f>
        <v>0.54</v>
      </c>
      <c r="W108" s="53">
        <f>(V108+U108+J108)/3</f>
        <v>0.44133333333333336</v>
      </c>
      <c r="X108" s="53" t="s">
        <v>225</v>
      </c>
      <c r="Y108" s="53">
        <v>0.1</v>
      </c>
      <c r="Z108" s="25">
        <f t="shared" si="118"/>
        <v>2.1252291452669851</v>
      </c>
      <c r="AA108" s="53">
        <v>53</v>
      </c>
      <c r="AC108" s="53">
        <v>13</v>
      </c>
      <c r="AD108" s="75"/>
      <c r="AE108" s="53">
        <v>5.84</v>
      </c>
      <c r="AF108" s="131">
        <f t="shared" si="103"/>
        <v>8.4144891810304781E-2</v>
      </c>
      <c r="AG108" s="53">
        <v>1</v>
      </c>
      <c r="AH108" s="53">
        <v>55</v>
      </c>
      <c r="AI108" s="57">
        <f t="shared" si="104"/>
        <v>6.4040226232395137E-2</v>
      </c>
      <c r="AJ108" s="57">
        <f t="shared" si="105"/>
        <v>1.0843150441923062E-2</v>
      </c>
      <c r="AK108" s="57">
        <f t="shared" si="106"/>
        <v>0.37822499999999998</v>
      </c>
      <c r="AL108" s="53">
        <f t="shared" si="107"/>
        <v>0.60812182308485785</v>
      </c>
      <c r="AM108" s="53">
        <f t="shared" si="108"/>
        <v>34.105599999999995</v>
      </c>
      <c r="AN108" s="80">
        <f t="shared" si="109"/>
        <v>0.19090582345700446</v>
      </c>
      <c r="AO108" s="80">
        <f t="shared" si="110"/>
        <v>3.3611111111111116</v>
      </c>
      <c r="AP108" s="145">
        <f t="shared" si="111"/>
        <v>0.22130106546110156</v>
      </c>
      <c r="AQ108" s="145">
        <f t="shared" si="112"/>
        <v>4.5165989198922398</v>
      </c>
      <c r="AR108" s="100">
        <f t="shared" si="113"/>
        <v>1.353695839058759</v>
      </c>
      <c r="AS108" s="100">
        <f t="shared" si="114"/>
        <v>169</v>
      </c>
      <c r="AT108" s="25">
        <f t="shared" si="115"/>
        <v>0.11505026226010673</v>
      </c>
      <c r="AU108" s="25">
        <f t="shared" si="116"/>
        <v>1.2207303511111112</v>
      </c>
      <c r="AV108" s="53">
        <f t="shared" si="124"/>
        <v>5.5189138053934021</v>
      </c>
      <c r="AW108" s="53">
        <f t="shared" si="125"/>
        <v>2809</v>
      </c>
      <c r="AX108" s="100">
        <f t="shared" si="122"/>
        <v>4.0610875171762766</v>
      </c>
      <c r="AY108" s="100">
        <f t="shared" si="123"/>
        <v>1521</v>
      </c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/>
      <c r="CO108" s="15"/>
      <c r="CP108" s="15"/>
      <c r="CQ108" s="15"/>
      <c r="CR108" s="15"/>
    </row>
    <row r="109" spans="1:96" s="45" customFormat="1" ht="14">
      <c r="A109" s="26" t="s">
        <v>106</v>
      </c>
      <c r="B109" s="24">
        <v>4</v>
      </c>
      <c r="C109" s="24">
        <v>4</v>
      </c>
      <c r="D109" s="27" t="s">
        <v>3</v>
      </c>
      <c r="E109" s="25">
        <f t="shared" si="97"/>
        <v>2</v>
      </c>
      <c r="F109" s="25">
        <v>34.700000000000003</v>
      </c>
      <c r="G109" s="25">
        <f t="shared" si="119"/>
        <v>1.6672733333333336</v>
      </c>
      <c r="H109" s="25">
        <f t="shared" si="120"/>
        <v>1.2086366666666668</v>
      </c>
      <c r="I109" s="25">
        <v>0.75</v>
      </c>
      <c r="J109" s="25">
        <f t="shared" si="98"/>
        <v>0.38100000000000001</v>
      </c>
      <c r="K109" s="25">
        <f t="shared" si="99"/>
        <v>0.50800000000000001</v>
      </c>
      <c r="L109" s="25">
        <v>0.73</v>
      </c>
      <c r="M109" s="25">
        <v>0.4</v>
      </c>
      <c r="N109" s="25">
        <f t="shared" si="100"/>
        <v>0.22179104477611941</v>
      </c>
      <c r="O109" s="25">
        <f t="shared" si="117"/>
        <v>48.272180560250838</v>
      </c>
      <c r="P109" s="25">
        <f t="shared" si="101"/>
        <v>5.4482726271653917E-2</v>
      </c>
      <c r="Q109" s="25">
        <f t="shared" si="102"/>
        <v>0.66666666666666674</v>
      </c>
      <c r="R109" s="25">
        <v>46.2</v>
      </c>
      <c r="S109" s="25">
        <f>1-0.744</f>
        <v>0.25600000000000001</v>
      </c>
      <c r="T109" s="25">
        <f t="shared" si="121"/>
        <v>0.35899999999999999</v>
      </c>
      <c r="U109" s="25">
        <v>0.53500000000000003</v>
      </c>
      <c r="V109" s="25">
        <v>0.48</v>
      </c>
      <c r="W109" s="25">
        <f>(V109+U109+J109)/3</f>
        <v>0.46533333333333338</v>
      </c>
      <c r="X109" s="25">
        <f>2/124</f>
        <v>1.6129032258064516E-2</v>
      </c>
      <c r="Y109" s="25">
        <f>X109</f>
        <v>1.6129032258064516E-2</v>
      </c>
      <c r="Z109" s="25">
        <f t="shared" si="118"/>
        <v>1.7512122172913127</v>
      </c>
      <c r="AA109" s="25">
        <v>3.8</v>
      </c>
      <c r="AB109" s="25">
        <v>3.1</v>
      </c>
      <c r="AC109" s="25">
        <v>29</v>
      </c>
      <c r="AD109" s="25"/>
      <c r="AE109" s="25">
        <v>6.19</v>
      </c>
      <c r="AF109" s="131">
        <f t="shared" si="103"/>
        <v>3.6277876759794186E-2</v>
      </c>
      <c r="AG109" s="25">
        <v>1</v>
      </c>
      <c r="AH109" s="25">
        <v>49</v>
      </c>
      <c r="AI109" s="57">
        <f t="shared" si="104"/>
        <v>1.3947577925543403E-2</v>
      </c>
      <c r="AJ109" s="57">
        <f t="shared" si="105"/>
        <v>2.9683674619919681E-3</v>
      </c>
      <c r="AK109" s="57">
        <f t="shared" si="106"/>
        <v>6.5535999999999997E-2</v>
      </c>
      <c r="AL109" s="53">
        <f t="shared" si="107"/>
        <v>0.33724807562153775</v>
      </c>
      <c r="AM109" s="53">
        <f t="shared" si="108"/>
        <v>38.316100000000006</v>
      </c>
      <c r="AN109" s="80">
        <f t="shared" si="109"/>
        <v>0.10896545254330783</v>
      </c>
      <c r="AO109" s="80">
        <f t="shared" si="110"/>
        <v>4</v>
      </c>
      <c r="AP109" s="145">
        <f t="shared" si="111"/>
        <v>9.5410815878258712E-2</v>
      </c>
      <c r="AQ109" s="145">
        <f t="shared" si="112"/>
        <v>3.066744229990356</v>
      </c>
      <c r="AR109" s="100">
        <f t="shared" si="113"/>
        <v>1.5799990618779636</v>
      </c>
      <c r="AS109" s="100">
        <f t="shared" si="114"/>
        <v>841</v>
      </c>
      <c r="AT109" s="25">
        <f t="shared" si="115"/>
        <v>6.5849820671884232E-2</v>
      </c>
      <c r="AU109" s="25">
        <f t="shared" si="116"/>
        <v>1.4608025920111114</v>
      </c>
      <c r="AV109" s="53">
        <f t="shared" si="124"/>
        <v>0.20703435983228488</v>
      </c>
      <c r="AW109" s="53">
        <f t="shared" si="125"/>
        <v>14.44</v>
      </c>
      <c r="AX109" s="100">
        <f t="shared" si="122"/>
        <v>2.5171019537504109</v>
      </c>
      <c r="AY109" s="100">
        <f t="shared" si="123"/>
        <v>2134.44</v>
      </c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  <c r="CR109" s="15"/>
    </row>
    <row r="110" spans="1:96" s="74" customFormat="1" ht="14">
      <c r="A110" s="16" t="s">
        <v>107</v>
      </c>
      <c r="B110" s="14">
        <v>3</v>
      </c>
      <c r="C110" s="14">
        <v>4</v>
      </c>
      <c r="D110" s="22" t="s">
        <v>3</v>
      </c>
      <c r="E110" s="15">
        <f t="shared" si="97"/>
        <v>1.8333333333333335</v>
      </c>
      <c r="F110" s="15"/>
      <c r="G110" s="25">
        <f t="shared" si="119"/>
        <v>-1</v>
      </c>
      <c r="H110" s="15">
        <v>0.67</v>
      </c>
      <c r="I110" s="15">
        <v>0.67</v>
      </c>
      <c r="J110" s="25">
        <f t="shared" si="98"/>
        <v>0.51</v>
      </c>
      <c r="K110" s="57">
        <f t="shared" si="99"/>
        <v>0.68</v>
      </c>
      <c r="L110" s="15">
        <v>0.03</v>
      </c>
      <c r="M110" s="15">
        <v>0.2</v>
      </c>
      <c r="N110" s="70">
        <f t="shared" si="100"/>
        <v>0.10089552238805971</v>
      </c>
      <c r="O110" s="53">
        <f t="shared" si="117"/>
        <v>14.29593347401876</v>
      </c>
      <c r="P110" s="25">
        <f t="shared" si="101"/>
        <v>0.18396839945986926</v>
      </c>
      <c r="Q110" s="15">
        <f t="shared" si="102"/>
        <v>0.7222222222222221</v>
      </c>
      <c r="R110" s="15"/>
      <c r="S110" s="15">
        <v>0.39800000000000002</v>
      </c>
      <c r="T110" s="70">
        <f>S110</f>
        <v>0.39800000000000002</v>
      </c>
      <c r="U110" s="15"/>
      <c r="V110" s="15">
        <v>0.35</v>
      </c>
      <c r="W110" s="25">
        <f>(V110+K110)/2</f>
        <v>0.51500000000000001</v>
      </c>
      <c r="X110" s="15" t="s">
        <v>225</v>
      </c>
      <c r="Y110" s="15">
        <v>0.1</v>
      </c>
      <c r="Z110" s="25">
        <f t="shared" si="118"/>
        <v>2.0784264876660772</v>
      </c>
      <c r="AA110" s="15">
        <v>16</v>
      </c>
      <c r="AB110" s="15">
        <v>14.5</v>
      </c>
      <c r="AC110" s="15">
        <v>0.34699999999999998</v>
      </c>
      <c r="AD110" s="75"/>
      <c r="AE110" s="108">
        <v>4.9000000000000004</v>
      </c>
      <c r="AF110" s="131">
        <f t="shared" si="103"/>
        <v>0.14538585335776652</v>
      </c>
      <c r="AG110" s="49">
        <v>1</v>
      </c>
      <c r="AH110" s="49">
        <v>54</v>
      </c>
      <c r="AI110" s="57">
        <f t="shared" si="104"/>
        <v>7.3219422985027968E-2</v>
      </c>
      <c r="AJ110" s="57">
        <f t="shared" si="105"/>
        <v>3.3844371999826026E-2</v>
      </c>
      <c r="AK110" s="57">
        <f t="shared" si="106"/>
        <v>0.15840400000000002</v>
      </c>
      <c r="AL110" s="53">
        <f t="shared" si="107"/>
        <v>0.90144515735335939</v>
      </c>
      <c r="AM110" s="53">
        <f t="shared" si="108"/>
        <v>24.010000000000005</v>
      </c>
      <c r="AN110" s="80">
        <f t="shared" si="109"/>
        <v>0.33727539900976033</v>
      </c>
      <c r="AO110" s="80">
        <f t="shared" si="110"/>
        <v>3.3611111111111116</v>
      </c>
      <c r="AP110" s="145">
        <f t="shared" si="111"/>
        <v>0.38236479433092591</v>
      </c>
      <c r="AQ110" s="145">
        <f t="shared" si="112"/>
        <v>4.3198566646319465</v>
      </c>
      <c r="AR110" s="100">
        <f t="shared" si="113"/>
        <v>6.3837034612574631E-2</v>
      </c>
      <c r="AS110" s="100">
        <f t="shared" si="114"/>
        <v>0.12040899999999999</v>
      </c>
      <c r="AT110" s="25">
        <f t="shared" si="115"/>
        <v>0.12325882763811241</v>
      </c>
      <c r="AU110" s="25">
        <f t="shared" si="116"/>
        <v>0.44890000000000008</v>
      </c>
      <c r="AV110" s="53">
        <f t="shared" si="124"/>
        <v>2.9434943913579081</v>
      </c>
      <c r="AW110" s="53">
        <f t="shared" si="125"/>
        <v>256</v>
      </c>
      <c r="AX110" s="100"/>
      <c r="AY110" s="100"/>
    </row>
    <row r="111" spans="1:96" s="25" customFormat="1" ht="14">
      <c r="A111" s="71" t="s">
        <v>108</v>
      </c>
      <c r="B111" s="72">
        <v>2</v>
      </c>
      <c r="C111" s="72">
        <v>3</v>
      </c>
      <c r="D111" s="73" t="s">
        <v>8</v>
      </c>
      <c r="E111" s="74">
        <f t="shared" si="97"/>
        <v>1.5</v>
      </c>
      <c r="F111" s="74">
        <v>30.5</v>
      </c>
      <c r="G111" s="74">
        <f t="shared" si="119"/>
        <v>1.3444333333333334</v>
      </c>
      <c r="H111" s="74">
        <f>(G111+I111)/2</f>
        <v>1.0472166666666667</v>
      </c>
      <c r="I111" s="74">
        <v>0.75</v>
      </c>
      <c r="J111" s="74">
        <f t="shared" si="98"/>
        <v>0.39900000000000002</v>
      </c>
      <c r="K111" s="74">
        <f t="shared" si="99"/>
        <v>0.53200000000000003</v>
      </c>
      <c r="L111" s="74">
        <v>7.0000000000000007E-2</v>
      </c>
      <c r="M111" s="74">
        <v>0.2</v>
      </c>
      <c r="N111" s="74">
        <f t="shared" si="100"/>
        <v>0.10208955223880598</v>
      </c>
      <c r="O111" s="74">
        <f t="shared" si="117"/>
        <v>12.452972237551814</v>
      </c>
      <c r="P111" s="74">
        <f t="shared" si="101"/>
        <v>0.2111945606101378</v>
      </c>
      <c r="Q111" s="74">
        <f t="shared" si="102"/>
        <v>0.83333333333333337</v>
      </c>
      <c r="R111" s="74">
        <v>40.1</v>
      </c>
      <c r="S111" s="74">
        <v>0.69099999999999995</v>
      </c>
      <c r="T111" s="74">
        <f>(R111/100+S111)/2</f>
        <v>0.54600000000000004</v>
      </c>
      <c r="U111" s="74">
        <v>0.32600000000000001</v>
      </c>
      <c r="V111" s="74">
        <v>0.47</v>
      </c>
      <c r="W111" s="74">
        <f>(V111+U111+J111)/3</f>
        <v>0.39833333333333337</v>
      </c>
      <c r="X111" s="74">
        <f>-8/126</f>
        <v>-6.3492063492063489E-2</v>
      </c>
      <c r="Y111" s="74">
        <f>X111</f>
        <v>-6.3492063492063489E-2</v>
      </c>
      <c r="Z111" s="74">
        <f t="shared" si="118"/>
        <v>2.0834692053767299</v>
      </c>
      <c r="AA111" s="74">
        <v>36.1</v>
      </c>
      <c r="AB111" s="74">
        <v>30</v>
      </c>
      <c r="AC111" s="74">
        <v>15</v>
      </c>
      <c r="AD111" s="74"/>
      <c r="AE111" s="74">
        <v>6.01</v>
      </c>
      <c r="AF111" s="131">
        <f t="shared" si="103"/>
        <v>0.16730698227159371</v>
      </c>
      <c r="AG111" s="74">
        <v>1</v>
      </c>
      <c r="AH111" s="74">
        <v>58</v>
      </c>
      <c r="AI111" s="57">
        <f t="shared" si="104"/>
        <v>0.14593544138160522</v>
      </c>
      <c r="AJ111" s="57">
        <f t="shared" si="105"/>
        <v>4.4603142431309174E-2</v>
      </c>
      <c r="AK111" s="57">
        <f t="shared" si="106"/>
        <v>0.47748099999999993</v>
      </c>
      <c r="AL111" s="53">
        <f t="shared" si="107"/>
        <v>1.2692793092669281</v>
      </c>
      <c r="AM111" s="53">
        <f t="shared" si="108"/>
        <v>36.120100000000001</v>
      </c>
      <c r="AN111" s="80">
        <f t="shared" si="109"/>
        <v>0.31679184091520673</v>
      </c>
      <c r="AO111" s="80">
        <f t="shared" si="110"/>
        <v>2.25</v>
      </c>
      <c r="AP111" s="145">
        <f t="shared" si="111"/>
        <v>0.44001736337429143</v>
      </c>
      <c r="AQ111" s="145">
        <f t="shared" si="112"/>
        <v>4.3408439297531425</v>
      </c>
      <c r="AR111" s="100">
        <f t="shared" si="113"/>
        <v>3.1679184091520671</v>
      </c>
      <c r="AS111" s="100">
        <f t="shared" si="114"/>
        <v>225</v>
      </c>
      <c r="AT111" s="25">
        <f t="shared" si="115"/>
        <v>0.22116646378027982</v>
      </c>
      <c r="AU111" s="25">
        <f t="shared" si="116"/>
        <v>1.0966627469444445</v>
      </c>
      <c r="AV111" s="53">
        <f t="shared" si="124"/>
        <v>7.6241236380259751</v>
      </c>
      <c r="AW111" s="53">
        <f t="shared" si="125"/>
        <v>1303.21</v>
      </c>
      <c r="AX111" s="100">
        <f>P111*R111</f>
        <v>8.468901880466527</v>
      </c>
      <c r="AY111" s="100">
        <f>R111*R111</f>
        <v>1608.0100000000002</v>
      </c>
    </row>
    <row r="112" spans="1:96" s="13" customFormat="1" ht="14">
      <c r="A112" s="67" t="s">
        <v>109</v>
      </c>
      <c r="B112" s="68">
        <v>1</v>
      </c>
      <c r="C112" s="68">
        <v>1</v>
      </c>
      <c r="D112" s="69" t="s">
        <v>8</v>
      </c>
      <c r="E112" s="70">
        <f t="shared" si="97"/>
        <v>1</v>
      </c>
      <c r="F112" s="70"/>
      <c r="G112" s="70">
        <f t="shared" si="119"/>
        <v>-1</v>
      </c>
      <c r="H112" s="70">
        <v>0.67</v>
      </c>
      <c r="I112" s="70">
        <v>0.67</v>
      </c>
      <c r="J112" s="70">
        <f t="shared" si="98"/>
        <v>0.17200000000000004</v>
      </c>
      <c r="K112" s="70">
        <f t="shared" si="99"/>
        <v>0.22933333333333339</v>
      </c>
      <c r="L112" s="70">
        <v>7.0000000000000007E-2</v>
      </c>
      <c r="M112" s="70">
        <v>0.2</v>
      </c>
      <c r="N112" s="70">
        <f t="shared" si="100"/>
        <v>0.10208955223880598</v>
      </c>
      <c r="O112" s="70">
        <f t="shared" si="117"/>
        <v>2.7221523854806109</v>
      </c>
      <c r="P112" s="70">
        <f t="shared" si="101"/>
        <v>0.96614723482339471</v>
      </c>
      <c r="Q112" s="70">
        <f t="shared" si="102"/>
        <v>1</v>
      </c>
      <c r="R112" s="70">
        <v>26</v>
      </c>
      <c r="S112" s="70">
        <f>1-0.815</f>
        <v>0.18500000000000005</v>
      </c>
      <c r="T112" s="70">
        <f>(R112/100+S112)/2</f>
        <v>0.22250000000000003</v>
      </c>
      <c r="U112" s="70">
        <v>0.68</v>
      </c>
      <c r="V112" s="70">
        <v>0.75</v>
      </c>
      <c r="W112" s="70">
        <f>(V112+U112+J112)/3</f>
        <v>0.53400000000000014</v>
      </c>
      <c r="X112" s="70">
        <f>-8/108</f>
        <v>-7.407407407407407E-2</v>
      </c>
      <c r="Y112" s="70">
        <f>X112</f>
        <v>-7.407407407407407E-2</v>
      </c>
      <c r="Z112" s="70">
        <f t="shared" si="118"/>
        <v>1.9786720263456208</v>
      </c>
      <c r="AA112" s="70" t="s">
        <v>223</v>
      </c>
      <c r="AB112" s="70">
        <v>6.2</v>
      </c>
      <c r="AC112" s="70">
        <v>0.41699999999999998</v>
      </c>
      <c r="AD112" s="70"/>
      <c r="AE112" s="70">
        <v>8.2799999999999994</v>
      </c>
      <c r="AF112" s="131">
        <f t="shared" si="103"/>
        <v>0.7268777592685266</v>
      </c>
      <c r="AG112" s="70">
        <v>1</v>
      </c>
      <c r="AH112" s="70">
        <v>25</v>
      </c>
      <c r="AI112" s="57">
        <f t="shared" si="104"/>
        <v>0.17873723844232808</v>
      </c>
      <c r="AJ112" s="57">
        <f t="shared" si="105"/>
        <v>0.93344047935689178</v>
      </c>
      <c r="AK112" s="57">
        <f t="shared" si="106"/>
        <v>3.4225000000000019E-2</v>
      </c>
      <c r="AL112" s="53">
        <f t="shared" si="107"/>
        <v>7.9996991043377079</v>
      </c>
      <c r="AM112" s="53">
        <f t="shared" si="108"/>
        <v>68.558399999999992</v>
      </c>
      <c r="AN112" s="80">
        <f t="shared" si="109"/>
        <v>0.96614723482339471</v>
      </c>
      <c r="AO112" s="80">
        <f t="shared" si="110"/>
        <v>1</v>
      </c>
      <c r="AP112" s="145">
        <f t="shared" si="111"/>
        <v>1.9116885068762248</v>
      </c>
      <c r="AQ112" s="145">
        <f t="shared" si="112"/>
        <v>3.9151429878426849</v>
      </c>
      <c r="AR112" s="100">
        <f t="shared" si="113"/>
        <v>0.40288339692135555</v>
      </c>
      <c r="AS112" s="100">
        <f t="shared" si="114"/>
        <v>0.17388899999999999</v>
      </c>
      <c r="AT112" s="25">
        <f t="shared" si="115"/>
        <v>0.64731864733167455</v>
      </c>
      <c r="AU112" s="25">
        <f t="shared" si="116"/>
        <v>0.44890000000000008</v>
      </c>
      <c r="AV112" s="53"/>
      <c r="AW112" s="53"/>
      <c r="AX112" s="100">
        <f>P112*R112</f>
        <v>25.119828105408263</v>
      </c>
      <c r="AY112" s="100">
        <f>R112*R112</f>
        <v>676</v>
      </c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/>
      <c r="CL112" s="15"/>
      <c r="CM112" s="15"/>
      <c r="CN112" s="15"/>
      <c r="CO112" s="15"/>
      <c r="CP112" s="15"/>
      <c r="CQ112" s="15"/>
      <c r="CR112" s="15"/>
    </row>
    <row r="113" spans="1:96" s="13" customFormat="1" ht="14">
      <c r="A113" s="17" t="s">
        <v>110</v>
      </c>
      <c r="B113" s="14">
        <v>1</v>
      </c>
      <c r="C113" s="14">
        <v>1</v>
      </c>
      <c r="D113" s="22" t="s">
        <v>8</v>
      </c>
      <c r="E113" s="15">
        <f t="shared" si="97"/>
        <v>1</v>
      </c>
      <c r="F113" s="15"/>
      <c r="G113" s="25">
        <f t="shared" si="119"/>
        <v>-1</v>
      </c>
      <c r="H113" s="15">
        <v>0.75</v>
      </c>
      <c r="I113" s="15">
        <v>0.75</v>
      </c>
      <c r="J113" s="25">
        <f t="shared" si="98"/>
        <v>0.19000000000000006</v>
      </c>
      <c r="K113" s="57">
        <f t="shared" si="99"/>
        <v>0.25333333333333341</v>
      </c>
      <c r="L113" s="15">
        <v>0.03</v>
      </c>
      <c r="M113" s="15">
        <v>0.2</v>
      </c>
      <c r="N113" s="70">
        <f t="shared" si="100"/>
        <v>0.10089552238805971</v>
      </c>
      <c r="O113" s="53">
        <f t="shared" si="117"/>
        <v>3.0168971086122003</v>
      </c>
      <c r="P113" s="25">
        <f t="shared" si="101"/>
        <v>0.87175661128523652</v>
      </c>
      <c r="Q113" s="15">
        <f t="shared" si="102"/>
        <v>1</v>
      </c>
      <c r="R113" s="15"/>
      <c r="S113" s="109">
        <v>0.15</v>
      </c>
      <c r="T113" s="70">
        <f>S113</f>
        <v>0.15</v>
      </c>
      <c r="U113" s="15"/>
      <c r="V113" s="15">
        <v>1.03</v>
      </c>
      <c r="W113" s="25">
        <f>(V113+K113)/2</f>
        <v>0.64166666666666672</v>
      </c>
      <c r="X113" s="15" t="s">
        <v>223</v>
      </c>
      <c r="Y113" s="15">
        <v>0.1</v>
      </c>
      <c r="Z113" s="25">
        <f t="shared" si="118"/>
        <v>2.4391915847129479</v>
      </c>
      <c r="AA113" s="15" t="s">
        <v>223</v>
      </c>
      <c r="AB113" s="15">
        <v>36</v>
      </c>
      <c r="AC113" s="15">
        <v>5.8999999999999997E-2</v>
      </c>
      <c r="AD113" s="75"/>
      <c r="AE113" s="108">
        <v>8.1</v>
      </c>
      <c r="AF113" s="131">
        <f t="shared" si="103"/>
        <v>0.80851003428320367</v>
      </c>
      <c r="AG113" s="15"/>
      <c r="AH113" s="15">
        <v>45</v>
      </c>
      <c r="AI113" s="57">
        <f t="shared" si="104"/>
        <v>0.13076349169278548</v>
      </c>
      <c r="AJ113" s="57">
        <f t="shared" si="105"/>
        <v>0.7599595893195189</v>
      </c>
      <c r="AK113" s="57">
        <f t="shared" si="106"/>
        <v>2.2499999999999999E-2</v>
      </c>
      <c r="AL113" s="53">
        <f t="shared" si="107"/>
        <v>7.0612285514104158</v>
      </c>
      <c r="AM113" s="53">
        <f t="shared" si="108"/>
        <v>65.61</v>
      </c>
      <c r="AN113" s="80">
        <f t="shared" si="109"/>
        <v>0.87175661128523652</v>
      </c>
      <c r="AO113" s="80">
        <f t="shared" si="110"/>
        <v>1</v>
      </c>
      <c r="AP113" s="145">
        <f t="shared" si="111"/>
        <v>2.1263813901648256</v>
      </c>
      <c r="AQ113" s="145">
        <f t="shared" si="112"/>
        <v>5.9496555869344627</v>
      </c>
      <c r="AR113" s="100">
        <f t="shared" si="113"/>
        <v>5.1433640065828949E-2</v>
      </c>
      <c r="AS113" s="100">
        <f t="shared" si="114"/>
        <v>3.4809999999999997E-3</v>
      </c>
      <c r="AT113" s="25">
        <f t="shared" si="115"/>
        <v>0.65381745846392736</v>
      </c>
      <c r="AU113" s="25">
        <f t="shared" si="116"/>
        <v>0.5625</v>
      </c>
      <c r="AV113" s="53"/>
      <c r="AW113" s="53"/>
      <c r="AX113" s="100"/>
      <c r="AY113" s="100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/>
      <c r="CO113" s="15"/>
      <c r="CP113" s="15"/>
      <c r="CQ113" s="15"/>
      <c r="CR113" s="15"/>
    </row>
    <row r="114" spans="1:96" s="107" customFormat="1" ht="14">
      <c r="A114" s="16" t="s">
        <v>111</v>
      </c>
      <c r="B114" s="14">
        <v>6</v>
      </c>
      <c r="C114" s="14">
        <v>5</v>
      </c>
      <c r="D114" s="22" t="s">
        <v>4</v>
      </c>
      <c r="E114" s="15">
        <f t="shared" si="97"/>
        <v>2.5</v>
      </c>
      <c r="F114" s="15">
        <v>29.5</v>
      </c>
      <c r="G114" s="25">
        <f t="shared" si="119"/>
        <v>1.2675666666666667</v>
      </c>
      <c r="H114" s="15">
        <f>(G114+I114)/2</f>
        <v>1.0087833333333334</v>
      </c>
      <c r="I114" s="15">
        <v>0.75</v>
      </c>
      <c r="J114" s="25">
        <f t="shared" si="98"/>
        <v>0.61399999999999999</v>
      </c>
      <c r="K114" s="57">
        <f t="shared" si="99"/>
        <v>0.81866666666666665</v>
      </c>
      <c r="L114" s="15">
        <v>0.05</v>
      </c>
      <c r="M114" s="15">
        <v>0.2</v>
      </c>
      <c r="N114" s="70">
        <f t="shared" si="100"/>
        <v>0.10149253731343284</v>
      </c>
      <c r="O114" s="53">
        <f t="shared" si="117"/>
        <v>124.25753950836535</v>
      </c>
      <c r="P114" s="25">
        <f t="shared" si="101"/>
        <v>2.1165717673195528E-2</v>
      </c>
      <c r="Q114" s="15">
        <f t="shared" si="102"/>
        <v>0.5</v>
      </c>
      <c r="R114" s="15">
        <v>39</v>
      </c>
      <c r="S114" s="15">
        <v>0.56699999999999995</v>
      </c>
      <c r="T114" s="15">
        <f>(R114/100+S114)/2</f>
        <v>0.47849999999999998</v>
      </c>
      <c r="U114" s="15"/>
      <c r="V114" s="15">
        <v>0.49</v>
      </c>
      <c r="W114" s="25">
        <f>(V114+K114)/2</f>
        <v>0.65433333333333332</v>
      </c>
      <c r="X114" s="15" t="s">
        <v>225</v>
      </c>
      <c r="Y114" s="15">
        <v>0.1</v>
      </c>
      <c r="Z114" s="25">
        <f t="shared" si="118"/>
        <v>1.8522788033635118</v>
      </c>
      <c r="AA114" s="15">
        <v>40</v>
      </c>
      <c r="AB114" s="15">
        <v>30</v>
      </c>
      <c r="AC114" s="15">
        <v>3.3</v>
      </c>
      <c r="AD114" s="75"/>
      <c r="AE114" s="15">
        <v>3.86</v>
      </c>
      <c r="AF114" s="131">
        <f t="shared" si="103"/>
        <v>1.4906771940698305E-2</v>
      </c>
      <c r="AG114" s="15">
        <v>1</v>
      </c>
      <c r="AH114" s="15">
        <v>53</v>
      </c>
      <c r="AI114" s="57">
        <f t="shared" si="104"/>
        <v>1.2000961920701863E-2</v>
      </c>
      <c r="AJ114" s="57">
        <f t="shared" si="105"/>
        <v>4.4798760462142151E-4</v>
      </c>
      <c r="AK114" s="57">
        <f t="shared" si="106"/>
        <v>0.32148899999999997</v>
      </c>
      <c r="AL114" s="53">
        <f t="shared" si="107"/>
        <v>8.1699670218534734E-2</v>
      </c>
      <c r="AM114" s="53">
        <f t="shared" si="108"/>
        <v>14.8996</v>
      </c>
      <c r="AN114" s="80">
        <f t="shared" si="109"/>
        <v>5.2914294182988819E-2</v>
      </c>
      <c r="AO114" s="80">
        <f t="shared" si="110"/>
        <v>6.25</v>
      </c>
      <c r="AP114" s="145">
        <f t="shared" si="111"/>
        <v>3.9204810204036544E-2</v>
      </c>
      <c r="AQ114" s="145">
        <f t="shared" si="112"/>
        <v>3.4309367653897631</v>
      </c>
      <c r="AR114" s="100">
        <f t="shared" si="113"/>
        <v>6.9846868321545241E-2</v>
      </c>
      <c r="AS114" s="100">
        <f t="shared" si="114"/>
        <v>10.889999999999999</v>
      </c>
      <c r="AT114" s="25">
        <f t="shared" si="115"/>
        <v>2.1351623226758428E-2</v>
      </c>
      <c r="AU114" s="25">
        <f t="shared" si="116"/>
        <v>1.0176438136111112</v>
      </c>
      <c r="AV114" s="53">
        <f>AA114*P114</f>
        <v>0.84662870692782111</v>
      </c>
      <c r="AW114" s="53">
        <f>AA114^2</f>
        <v>1600</v>
      </c>
      <c r="AX114" s="100">
        <f>P114*R114</f>
        <v>0.82546298925462558</v>
      </c>
      <c r="AY114" s="100">
        <f>R114*R114</f>
        <v>1521</v>
      </c>
    </row>
    <row r="115" spans="1:96" s="13" customFormat="1" ht="14">
      <c r="A115" s="16" t="s">
        <v>112</v>
      </c>
      <c r="B115" s="14">
        <v>1</v>
      </c>
      <c r="C115" s="14">
        <v>2</v>
      </c>
      <c r="D115" s="22" t="s">
        <v>8</v>
      </c>
      <c r="E115" s="15">
        <f t="shared" si="97"/>
        <v>1.1666666666666667</v>
      </c>
      <c r="F115" s="15"/>
      <c r="G115" s="25">
        <f t="shared" si="119"/>
        <v>-1</v>
      </c>
      <c r="H115" s="15">
        <v>0.75</v>
      </c>
      <c r="I115" s="15">
        <v>0.75</v>
      </c>
      <c r="J115" s="25">
        <f t="shared" si="98"/>
        <v>0.19600000000000006</v>
      </c>
      <c r="K115" s="57">
        <f t="shared" si="99"/>
        <v>0.26133333333333342</v>
      </c>
      <c r="L115" s="15">
        <v>7.0000000000000007E-2</v>
      </c>
      <c r="M115" s="15">
        <v>0.2</v>
      </c>
      <c r="N115" s="70">
        <f t="shared" si="100"/>
        <v>0.10208955223880598</v>
      </c>
      <c r="O115" s="53">
        <f t="shared" si="117"/>
        <v>3.6656048891209205</v>
      </c>
      <c r="P115" s="25">
        <f t="shared" si="101"/>
        <v>0.71748049218439425</v>
      </c>
      <c r="Q115" s="15">
        <f t="shared" si="102"/>
        <v>0.94444444444444442</v>
      </c>
      <c r="R115" s="15">
        <v>39</v>
      </c>
      <c r="S115" s="15">
        <v>0.29899999999999999</v>
      </c>
      <c r="T115" s="15">
        <f>(R115/100+S115)/2</f>
        <v>0.34450000000000003</v>
      </c>
      <c r="U115" s="15">
        <v>0.60199999999999998</v>
      </c>
      <c r="V115" s="15">
        <v>0.57999999999999996</v>
      </c>
      <c r="W115" s="15">
        <f>(V115+U115+J115)/3</f>
        <v>0.45933333333333337</v>
      </c>
      <c r="X115" s="15">
        <f>4/124</f>
        <v>3.2258064516129031E-2</v>
      </c>
      <c r="Y115" s="15">
        <f>X115</f>
        <v>3.2258064516129031E-2</v>
      </c>
      <c r="Z115" s="25">
        <f t="shared" si="118"/>
        <v>2.202607477835306</v>
      </c>
      <c r="AA115" s="15">
        <v>8</v>
      </c>
      <c r="AB115" s="15">
        <v>7.8</v>
      </c>
      <c r="AC115" s="15">
        <v>1.29</v>
      </c>
      <c r="AD115" s="75"/>
      <c r="AE115" s="15">
        <v>8.0399999999999991</v>
      </c>
      <c r="AF115" s="131">
        <f t="shared" si="103"/>
        <v>0.60088513204802385</v>
      </c>
      <c r="AG115" s="15">
        <v>1</v>
      </c>
      <c r="AH115" s="39">
        <v>55</v>
      </c>
      <c r="AI115" s="57">
        <f t="shared" si="104"/>
        <v>0.21452666716313387</v>
      </c>
      <c r="AJ115" s="57">
        <f t="shared" si="105"/>
        <v>0.51477825666516064</v>
      </c>
      <c r="AK115" s="57">
        <f t="shared" si="106"/>
        <v>8.9400999999999994E-2</v>
      </c>
      <c r="AL115" s="53">
        <f t="shared" si="107"/>
        <v>5.7685431571625294</v>
      </c>
      <c r="AM115" s="53">
        <f t="shared" si="108"/>
        <v>64.641599999999983</v>
      </c>
      <c r="AN115" s="80">
        <f t="shared" si="109"/>
        <v>0.8370605742151267</v>
      </c>
      <c r="AO115" s="80">
        <f t="shared" si="110"/>
        <v>1.3611111111111114</v>
      </c>
      <c r="AP115" s="145">
        <f t="shared" si="111"/>
        <v>1.5803278972863026</v>
      </c>
      <c r="AQ115" s="145">
        <f t="shared" si="112"/>
        <v>4.8514797014160083</v>
      </c>
      <c r="AR115" s="100">
        <f t="shared" si="113"/>
        <v>0.92554983491786857</v>
      </c>
      <c r="AS115" s="100">
        <f t="shared" si="114"/>
        <v>1.6641000000000001</v>
      </c>
      <c r="AT115" s="25">
        <f t="shared" si="115"/>
        <v>0.53811036913829569</v>
      </c>
      <c r="AU115" s="25">
        <f t="shared" si="116"/>
        <v>0.5625</v>
      </c>
      <c r="AV115" s="53">
        <f>AA115*P115</f>
        <v>5.739843937475154</v>
      </c>
      <c r="AW115" s="53">
        <f>AA115^2</f>
        <v>64</v>
      </c>
      <c r="AX115" s="100">
        <f>P115*R115</f>
        <v>27.981739195191377</v>
      </c>
      <c r="AY115" s="100">
        <f>R115*R115</f>
        <v>1521</v>
      </c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</row>
    <row r="116" spans="1:96" s="62" customFormat="1" ht="14">
      <c r="A116" s="96" t="s">
        <v>113</v>
      </c>
      <c r="B116" s="97">
        <v>3</v>
      </c>
      <c r="C116" s="97">
        <v>3</v>
      </c>
      <c r="D116" s="98" t="s">
        <v>3</v>
      </c>
      <c r="E116" s="99">
        <f t="shared" si="97"/>
        <v>1.6666666666666665</v>
      </c>
      <c r="F116" s="99">
        <v>41.4</v>
      </c>
      <c r="G116" s="99">
        <f t="shared" si="119"/>
        <v>2.18228</v>
      </c>
      <c r="H116" s="99">
        <f>(G116+I116)/2</f>
        <v>1.59114</v>
      </c>
      <c r="I116" s="99">
        <v>1</v>
      </c>
      <c r="J116" s="99">
        <f t="shared" si="98"/>
        <v>0.30700000000000005</v>
      </c>
      <c r="K116" s="99">
        <f t="shared" si="99"/>
        <v>0.40933333333333338</v>
      </c>
      <c r="L116" s="99">
        <v>1.43</v>
      </c>
      <c r="M116" s="99">
        <v>0.6</v>
      </c>
      <c r="N116" s="99">
        <f t="shared" si="100"/>
        <v>0.34268656716417911</v>
      </c>
      <c r="O116" s="99">
        <f t="shared" si="117"/>
        <v>49.663313462940749</v>
      </c>
      <c r="P116" s="99">
        <f t="shared" si="101"/>
        <v>5.295659545476223E-2</v>
      </c>
      <c r="Q116" s="99">
        <f t="shared" si="102"/>
        <v>0.77777777777777779</v>
      </c>
      <c r="R116" s="99">
        <v>51.7</v>
      </c>
      <c r="S116" s="99">
        <f>1-0.75</f>
        <v>0.25</v>
      </c>
      <c r="T116" s="99">
        <f>(R116/100+S116)/2</f>
        <v>0.38350000000000001</v>
      </c>
      <c r="U116" s="99">
        <v>0.375</v>
      </c>
      <c r="V116" s="99">
        <v>0.62</v>
      </c>
      <c r="W116" s="99">
        <f>(V116+U116+J116)/3</f>
        <v>0.434</v>
      </c>
      <c r="X116" s="99">
        <f>-5/109</f>
        <v>-4.5871559633027525E-2</v>
      </c>
      <c r="Y116" s="99">
        <f>X116</f>
        <v>-4.5871559633027525E-2</v>
      </c>
      <c r="Z116" s="99">
        <f t="shared" si="118"/>
        <v>1.8224020773694789</v>
      </c>
      <c r="AA116" s="99">
        <v>18.2</v>
      </c>
      <c r="AB116" s="99">
        <v>5.0999999999999996</v>
      </c>
      <c r="AC116" s="99">
        <v>113</v>
      </c>
      <c r="AD116" s="99"/>
      <c r="AE116" s="99">
        <v>6.93</v>
      </c>
      <c r="AF116" s="131">
        <f t="shared" si="103"/>
        <v>3.6695136717556573E-2</v>
      </c>
      <c r="AG116" s="99">
        <v>1</v>
      </c>
      <c r="AH116" s="99">
        <v>34</v>
      </c>
      <c r="AI116" s="57">
        <f t="shared" si="104"/>
        <v>1.3239148863690558E-2</v>
      </c>
      <c r="AJ116" s="57">
        <f t="shared" si="105"/>
        <v>2.8044010021593437E-3</v>
      </c>
      <c r="AK116" s="57">
        <f t="shared" si="106"/>
        <v>6.25E-2</v>
      </c>
      <c r="AL116" s="53">
        <f t="shared" si="107"/>
        <v>0.36698920650150224</v>
      </c>
      <c r="AM116" s="53">
        <f t="shared" si="108"/>
        <v>48.024899999999995</v>
      </c>
      <c r="AN116" s="80">
        <f t="shared" si="109"/>
        <v>8.826099242460371E-2</v>
      </c>
      <c r="AO116" s="80">
        <f t="shared" si="110"/>
        <v>2.7777777777777772</v>
      </c>
      <c r="AP116" s="145">
        <f t="shared" si="111"/>
        <v>9.6508209567173792E-2</v>
      </c>
      <c r="AQ116" s="145">
        <f t="shared" si="112"/>
        <v>3.321149331600592</v>
      </c>
      <c r="AR116" s="100">
        <f t="shared" si="113"/>
        <v>5.9840952863881318</v>
      </c>
      <c r="AS116" s="100">
        <f t="shared" si="114"/>
        <v>12769</v>
      </c>
      <c r="AT116" s="25">
        <f t="shared" si="115"/>
        <v>8.4261357291890368E-2</v>
      </c>
      <c r="AU116" s="25">
        <f t="shared" si="116"/>
        <v>2.5317264996</v>
      </c>
      <c r="AV116" s="53">
        <f>AA116*P116</f>
        <v>0.96381003727667258</v>
      </c>
      <c r="AW116" s="53">
        <f>AA116^2</f>
        <v>331.23999999999995</v>
      </c>
      <c r="AX116" s="100">
        <f>P116*R116</f>
        <v>2.7378559850112074</v>
      </c>
      <c r="AY116" s="100">
        <f>R116*R116</f>
        <v>2672.8900000000003</v>
      </c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/>
      <c r="CO116" s="15"/>
      <c r="CP116" s="15"/>
      <c r="CQ116" s="15"/>
      <c r="CR116" s="15"/>
    </row>
    <row r="117" spans="1:96" s="57" customFormat="1" ht="14">
      <c r="A117" s="16" t="s">
        <v>114</v>
      </c>
      <c r="B117" s="14">
        <v>1</v>
      </c>
      <c r="C117" s="14">
        <v>1</v>
      </c>
      <c r="D117" s="22" t="s">
        <v>8</v>
      </c>
      <c r="E117" s="15">
        <f t="shared" si="97"/>
        <v>1</v>
      </c>
      <c r="F117" s="15"/>
      <c r="G117" s="25">
        <f t="shared" si="119"/>
        <v>-1</v>
      </c>
      <c r="H117" s="15">
        <v>0.75</v>
      </c>
      <c r="I117" s="15">
        <v>0.75</v>
      </c>
      <c r="J117" s="25">
        <f t="shared" si="98"/>
        <v>0.19000000000000006</v>
      </c>
      <c r="K117" s="57">
        <f t="shared" si="99"/>
        <v>0.25333333333333341</v>
      </c>
      <c r="L117" s="15">
        <v>0.03</v>
      </c>
      <c r="M117" s="15">
        <v>0.2</v>
      </c>
      <c r="N117" s="70">
        <f t="shared" si="100"/>
        <v>0.10089552238805971</v>
      </c>
      <c r="O117" s="53">
        <f t="shared" si="117"/>
        <v>3.0168971086122003</v>
      </c>
      <c r="P117" s="25">
        <f t="shared" si="101"/>
        <v>0.87175661128523652</v>
      </c>
      <c r="Q117" s="15">
        <f t="shared" si="102"/>
        <v>1</v>
      </c>
      <c r="R117" s="15"/>
      <c r="S117" s="15">
        <v>0.38600000000000001</v>
      </c>
      <c r="T117" s="70">
        <f>S117</f>
        <v>0.38600000000000001</v>
      </c>
      <c r="U117" s="15"/>
      <c r="V117" s="15">
        <v>0.97</v>
      </c>
      <c r="W117" s="25">
        <f>(V117+K117)/2</f>
        <v>0.61166666666666669</v>
      </c>
      <c r="X117" s="15" t="s">
        <v>223</v>
      </c>
      <c r="Y117" s="15">
        <v>0.1</v>
      </c>
      <c r="Z117" s="25">
        <f t="shared" si="118"/>
        <v>2.9971644748744368</v>
      </c>
      <c r="AA117" s="15">
        <v>26.7</v>
      </c>
      <c r="AB117" s="15">
        <v>22</v>
      </c>
      <c r="AC117" s="15"/>
      <c r="AD117" s="75"/>
      <c r="AE117" s="108">
        <v>8.1</v>
      </c>
      <c r="AF117" s="131">
        <f t="shared" si="103"/>
        <v>0.99345929508784581</v>
      </c>
      <c r="AG117" s="15"/>
      <c r="AH117" s="15">
        <v>45</v>
      </c>
      <c r="AI117" s="57">
        <f t="shared" si="104"/>
        <v>0.33649805195610133</v>
      </c>
      <c r="AJ117" s="57">
        <f t="shared" si="105"/>
        <v>0.7599595893195189</v>
      </c>
      <c r="AK117" s="57">
        <f t="shared" si="106"/>
        <v>0.14899600000000002</v>
      </c>
      <c r="AL117" s="53">
        <f t="shared" si="107"/>
        <v>7.0612285514104158</v>
      </c>
      <c r="AM117" s="53">
        <f t="shared" si="108"/>
        <v>65.61</v>
      </c>
      <c r="AN117" s="80">
        <f t="shared" si="109"/>
        <v>0.87175661128523652</v>
      </c>
      <c r="AO117" s="80">
        <f t="shared" si="110"/>
        <v>1</v>
      </c>
      <c r="AP117" s="145">
        <f t="shared" si="111"/>
        <v>2.6127979460810344</v>
      </c>
      <c r="AQ117" s="145">
        <f t="shared" si="112"/>
        <v>8.9829948894493583</v>
      </c>
      <c r="AR117" s="100">
        <f t="shared" si="113"/>
        <v>0</v>
      </c>
      <c r="AS117" s="100">
        <f t="shared" si="114"/>
        <v>0</v>
      </c>
      <c r="AT117" s="25">
        <f t="shared" si="115"/>
        <v>0.65381745846392736</v>
      </c>
      <c r="AU117" s="25">
        <f t="shared" si="116"/>
        <v>0.5625</v>
      </c>
      <c r="AV117" s="53">
        <f>AA117*P117</f>
        <v>23.275901521315813</v>
      </c>
      <c r="AW117" s="53">
        <f>AA117^2</f>
        <v>712.89</v>
      </c>
      <c r="AX117" s="158"/>
      <c r="AY117" s="158"/>
    </row>
    <row r="118" spans="1:96" s="13" customFormat="1" ht="14">
      <c r="A118" s="16" t="s">
        <v>115</v>
      </c>
      <c r="B118" s="14">
        <v>3</v>
      </c>
      <c r="C118" s="14">
        <v>3</v>
      </c>
      <c r="D118" s="22" t="s">
        <v>3</v>
      </c>
      <c r="E118" s="15">
        <f t="shared" si="97"/>
        <v>1.6666666666666665</v>
      </c>
      <c r="F118" s="15">
        <v>29.8</v>
      </c>
      <c r="G118" s="25">
        <f t="shared" si="119"/>
        <v>1.2906266666666668</v>
      </c>
      <c r="H118" s="15">
        <f>(G118+I118)/2</f>
        <v>1.0203133333333334</v>
      </c>
      <c r="I118" s="15">
        <v>0.75</v>
      </c>
      <c r="J118" s="25">
        <f t="shared" si="98"/>
        <v>0.36699999999999999</v>
      </c>
      <c r="K118" s="57">
        <f t="shared" si="99"/>
        <v>0.48933333333333334</v>
      </c>
      <c r="L118" s="15">
        <v>0.08</v>
      </c>
      <c r="M118" s="15">
        <v>0.2</v>
      </c>
      <c r="N118" s="70">
        <f t="shared" si="100"/>
        <v>0.10238805970149255</v>
      </c>
      <c r="O118" s="53">
        <f t="shared" si="117"/>
        <v>14.683501902386663</v>
      </c>
      <c r="P118" s="25">
        <f t="shared" si="101"/>
        <v>0.17911258618575984</v>
      </c>
      <c r="Q118" s="15">
        <f t="shared" si="102"/>
        <v>0.77777777777777779</v>
      </c>
      <c r="R118" s="15">
        <v>38</v>
      </c>
      <c r="S118" s="15">
        <v>0.377</v>
      </c>
      <c r="T118" s="15">
        <f>(R118/100+S118)/2</f>
        <v>0.3785</v>
      </c>
      <c r="U118" s="15">
        <v>0.29299999999999998</v>
      </c>
      <c r="V118" s="15">
        <v>0.4</v>
      </c>
      <c r="W118" s="15">
        <f>(V118+U118+J118)/3</f>
        <v>0.35333333333333333</v>
      </c>
      <c r="X118" s="15">
        <f>-2/117</f>
        <v>-1.7094017094017096E-2</v>
      </c>
      <c r="Y118" s="15">
        <f>X118</f>
        <v>-1.7094017094017096E-2</v>
      </c>
      <c r="Z118" s="25">
        <f t="shared" si="118"/>
        <v>1.7435240080582213</v>
      </c>
      <c r="AA118" s="15">
        <v>26.3</v>
      </c>
      <c r="AB118" s="15">
        <v>6.2</v>
      </c>
      <c r="AC118" s="15">
        <v>3.5</v>
      </c>
      <c r="AD118" s="75"/>
      <c r="AE118" s="15">
        <v>6.33</v>
      </c>
      <c r="AF118" s="131">
        <f t="shared" si="103"/>
        <v>0.11874033998489339</v>
      </c>
      <c r="AG118" s="15">
        <v>1</v>
      </c>
      <c r="AH118" s="15">
        <v>25</v>
      </c>
      <c r="AI118" s="57">
        <f t="shared" si="104"/>
        <v>6.7525444992031461E-2</v>
      </c>
      <c r="AJ118" s="57">
        <f t="shared" si="105"/>
        <v>3.2081318530151247E-2</v>
      </c>
      <c r="AK118" s="57">
        <f t="shared" si="106"/>
        <v>0.14212900000000001</v>
      </c>
      <c r="AL118" s="53">
        <f t="shared" si="107"/>
        <v>1.1337826705558598</v>
      </c>
      <c r="AM118" s="53">
        <f t="shared" si="108"/>
        <v>40.068899999999999</v>
      </c>
      <c r="AN118" s="80">
        <f t="shared" si="109"/>
        <v>0.29852097697626639</v>
      </c>
      <c r="AO118" s="80">
        <f t="shared" si="110"/>
        <v>2.7777777777777772</v>
      </c>
      <c r="AP118" s="145">
        <f t="shared" si="111"/>
        <v>0.31228709416026962</v>
      </c>
      <c r="AQ118" s="145">
        <f t="shared" si="112"/>
        <v>3.0398759666754045</v>
      </c>
      <c r="AR118" s="100">
        <f t="shared" si="113"/>
        <v>0.62689405165015943</v>
      </c>
      <c r="AS118" s="100">
        <f t="shared" si="114"/>
        <v>12.25</v>
      </c>
      <c r="AT118" s="25">
        <f t="shared" si="115"/>
        <v>0.1827509598531466</v>
      </c>
      <c r="AU118" s="25">
        <f t="shared" si="116"/>
        <v>1.0410392981777778</v>
      </c>
      <c r="AV118" s="53">
        <f>AA118*P118</f>
        <v>4.7106610166854841</v>
      </c>
      <c r="AW118" s="53">
        <f>AA118^2</f>
        <v>691.69</v>
      </c>
      <c r="AX118" s="100">
        <f>P118*R118</f>
        <v>6.8062782750588742</v>
      </c>
      <c r="AY118" s="100">
        <f>R118*R118</f>
        <v>1444</v>
      </c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</row>
    <row r="119" spans="1:96" s="13" customFormat="1" ht="14">
      <c r="A119" s="16" t="s">
        <v>116</v>
      </c>
      <c r="B119" s="14">
        <v>2</v>
      </c>
      <c r="C119" s="14">
        <v>1</v>
      </c>
      <c r="D119" s="22" t="s">
        <v>8</v>
      </c>
      <c r="E119" s="15">
        <f t="shared" si="97"/>
        <v>1.1666666666666667</v>
      </c>
      <c r="F119" s="15"/>
      <c r="G119" s="25">
        <f t="shared" si="119"/>
        <v>-1</v>
      </c>
      <c r="H119" s="15">
        <v>0.75</v>
      </c>
      <c r="I119" s="15">
        <v>0.75</v>
      </c>
      <c r="J119" s="25">
        <f t="shared" si="98"/>
        <v>0.39</v>
      </c>
      <c r="K119" s="57">
        <f t="shared" si="99"/>
        <v>0.52</v>
      </c>
      <c r="L119" s="15">
        <v>0</v>
      </c>
      <c r="M119" s="15">
        <v>0.2</v>
      </c>
      <c r="N119" s="70">
        <f t="shared" si="100"/>
        <v>0.1</v>
      </c>
      <c r="O119" s="53">
        <f t="shared" si="117"/>
        <v>4.9447842457459661</v>
      </c>
      <c r="P119" s="25">
        <f t="shared" si="101"/>
        <v>0.53187355995615138</v>
      </c>
      <c r="Q119" s="15">
        <f t="shared" si="102"/>
        <v>0.94444444444444442</v>
      </c>
      <c r="R119" s="15"/>
      <c r="S119" s="109">
        <v>0.18</v>
      </c>
      <c r="T119" s="70">
        <f>S119</f>
        <v>0.18</v>
      </c>
      <c r="U119" s="15"/>
      <c r="V119" s="15">
        <v>0.75</v>
      </c>
      <c r="W119" s="25">
        <f>(V119+K119)/2</f>
        <v>0.63500000000000001</v>
      </c>
      <c r="X119" s="15" t="s">
        <v>225</v>
      </c>
      <c r="Y119" s="15">
        <v>0.1</v>
      </c>
      <c r="Z119" s="25">
        <f t="shared" si="118"/>
        <v>2.3730277386646654</v>
      </c>
      <c r="AA119" s="15" t="s">
        <v>223</v>
      </c>
      <c r="AB119" s="15">
        <v>0</v>
      </c>
      <c r="AC119" s="15">
        <v>3.5000000000000003E-2</v>
      </c>
      <c r="AD119" s="75"/>
      <c r="AE119" s="108">
        <v>6.1</v>
      </c>
      <c r="AF119" s="131">
        <f t="shared" si="103"/>
        <v>0.47990521339858228</v>
      </c>
      <c r="AG119" s="25">
        <v>1</v>
      </c>
      <c r="AH119" s="15">
        <v>25</v>
      </c>
      <c r="AI119" s="57">
        <f t="shared" si="104"/>
        <v>9.5737240792107242E-2</v>
      </c>
      <c r="AJ119" s="57">
        <f t="shared" si="105"/>
        <v>0.28288948378042977</v>
      </c>
      <c r="AK119" s="57">
        <f t="shared" si="106"/>
        <v>3.2399999999999998E-2</v>
      </c>
      <c r="AL119" s="53">
        <f t="shared" si="107"/>
        <v>3.2444287157325231</v>
      </c>
      <c r="AM119" s="53">
        <f t="shared" si="108"/>
        <v>37.209999999999994</v>
      </c>
      <c r="AN119" s="80">
        <f t="shared" si="109"/>
        <v>0.62051915328217666</v>
      </c>
      <c r="AO119" s="80">
        <f t="shared" si="110"/>
        <v>1.3611111111111114</v>
      </c>
      <c r="AP119" s="145">
        <f t="shared" si="111"/>
        <v>1.2621507112382713</v>
      </c>
      <c r="AQ119" s="145">
        <f t="shared" si="112"/>
        <v>5.6312606484719359</v>
      </c>
      <c r="AR119" s="100">
        <f t="shared" si="113"/>
        <v>1.8615574598465301E-2</v>
      </c>
      <c r="AS119" s="100">
        <f t="shared" si="114"/>
        <v>1.2250000000000002E-3</v>
      </c>
      <c r="AT119" s="25">
        <f t="shared" si="115"/>
        <v>0.39890516996711356</v>
      </c>
      <c r="AU119" s="25">
        <f t="shared" si="116"/>
        <v>0.5625</v>
      </c>
      <c r="AV119" s="53"/>
      <c r="AW119" s="53"/>
      <c r="AX119" s="100"/>
      <c r="AY119" s="100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</row>
    <row r="120" spans="1:96" s="105" customFormat="1" ht="14">
      <c r="A120" s="16" t="s">
        <v>117</v>
      </c>
      <c r="B120" s="14">
        <v>2</v>
      </c>
      <c r="C120" s="14">
        <v>2</v>
      </c>
      <c r="D120" s="22" t="s">
        <v>8</v>
      </c>
      <c r="E120" s="15">
        <f t="shared" si="97"/>
        <v>1.3333333333333333</v>
      </c>
      <c r="F120" s="15">
        <v>28.4</v>
      </c>
      <c r="G120" s="25">
        <f t="shared" si="119"/>
        <v>1.1830133333333333</v>
      </c>
      <c r="H120" s="15">
        <f>(G120+I120)/2</f>
        <v>0.96650666666666663</v>
      </c>
      <c r="I120" s="15">
        <v>0.75</v>
      </c>
      <c r="J120" s="25">
        <f t="shared" si="98"/>
        <v>0.36399999999999999</v>
      </c>
      <c r="K120" s="57">
        <f t="shared" si="99"/>
        <v>0.48533333333333334</v>
      </c>
      <c r="L120" s="15">
        <v>0.05</v>
      </c>
      <c r="M120" s="15">
        <v>0.2</v>
      </c>
      <c r="N120" s="70">
        <f t="shared" si="100"/>
        <v>0.10149253731343284</v>
      </c>
      <c r="O120" s="53">
        <f t="shared" si="117"/>
        <v>7.9336249501121534</v>
      </c>
      <c r="P120" s="25">
        <f t="shared" si="101"/>
        <v>0.33150041961119187</v>
      </c>
      <c r="Q120" s="15">
        <f t="shared" si="102"/>
        <v>0.88888888888888895</v>
      </c>
      <c r="R120" s="15">
        <v>36.5</v>
      </c>
      <c r="S120" s="15">
        <v>0.378</v>
      </c>
      <c r="T120" s="15">
        <f>(R120/100+S120)/2</f>
        <v>0.3715</v>
      </c>
      <c r="U120" s="15"/>
      <c r="V120" s="15">
        <v>-0.7</v>
      </c>
      <c r="W120" s="25">
        <f>(V120+K120)/2</f>
        <v>-0.10733333333333331</v>
      </c>
      <c r="X120" s="15" t="s">
        <v>225</v>
      </c>
      <c r="Y120" s="15">
        <v>0.1</v>
      </c>
      <c r="Z120" s="25">
        <f t="shared" si="118"/>
        <v>1.3822376945296395</v>
      </c>
      <c r="AA120" s="15">
        <v>39.200000000000003</v>
      </c>
      <c r="AB120" s="15">
        <v>9.9</v>
      </c>
      <c r="AC120" s="15">
        <v>2.7</v>
      </c>
      <c r="AD120" s="75"/>
      <c r="AE120" s="15">
        <v>6.36</v>
      </c>
      <c r="AF120" s="131">
        <f t="shared" si="103"/>
        <v>0.17422523792356728</v>
      </c>
      <c r="AG120" s="15">
        <v>1</v>
      </c>
      <c r="AH120" s="15">
        <v>16</v>
      </c>
      <c r="AI120" s="57">
        <f t="shared" si="104"/>
        <v>0.12530715861303052</v>
      </c>
      <c r="AJ120" s="57">
        <f t="shared" si="105"/>
        <v>0.10989252820239628</v>
      </c>
      <c r="AK120" s="57">
        <f t="shared" si="106"/>
        <v>0.14288400000000001</v>
      </c>
      <c r="AL120" s="53">
        <f t="shared" si="107"/>
        <v>2.1083426687271802</v>
      </c>
      <c r="AM120" s="53">
        <f t="shared" si="108"/>
        <v>40.449600000000004</v>
      </c>
      <c r="AN120" s="80">
        <f t="shared" si="109"/>
        <v>0.44200055948158912</v>
      </c>
      <c r="AO120" s="80">
        <f t="shared" si="110"/>
        <v>1.7777777777777777</v>
      </c>
      <c r="AP120" s="145">
        <f t="shared" si="111"/>
        <v>0.45821237573898194</v>
      </c>
      <c r="AQ120" s="145">
        <f t="shared" si="112"/>
        <v>1.9105810441786131</v>
      </c>
      <c r="AR120" s="100">
        <f t="shared" si="113"/>
        <v>0.8950511329502181</v>
      </c>
      <c r="AS120" s="100">
        <f t="shared" si="114"/>
        <v>7.2900000000000009</v>
      </c>
      <c r="AT120" s="25">
        <f t="shared" si="115"/>
        <v>0.32039736555701431</v>
      </c>
      <c r="AU120" s="25">
        <f t="shared" si="116"/>
        <v>0.93413513671111104</v>
      </c>
      <c r="AV120" s="53">
        <f>AA120*P120</f>
        <v>12.994816448758723</v>
      </c>
      <c r="AW120" s="53">
        <f>AA120^2</f>
        <v>1536.6400000000003</v>
      </c>
      <c r="AX120" s="100">
        <f>P120*R120</f>
        <v>12.099765315808503</v>
      </c>
      <c r="AY120" s="100">
        <f>R120*R120</f>
        <v>1332.25</v>
      </c>
    </row>
    <row r="121" spans="1:96" s="13" customFormat="1" ht="14">
      <c r="A121" s="67" t="s">
        <v>194</v>
      </c>
      <c r="B121" s="68">
        <v>3</v>
      </c>
      <c r="C121" s="68">
        <v>2</v>
      </c>
      <c r="D121" s="69" t="s">
        <v>8</v>
      </c>
      <c r="E121" s="70">
        <f t="shared" si="97"/>
        <v>1.5</v>
      </c>
      <c r="F121" s="70">
        <v>24.1</v>
      </c>
      <c r="G121" s="70">
        <f t="shared" si="119"/>
        <v>0.85248666666666684</v>
      </c>
      <c r="H121" s="70">
        <f>(G121+I121)/2</f>
        <v>0.80124333333333342</v>
      </c>
      <c r="I121" s="70">
        <v>0.75</v>
      </c>
      <c r="J121" s="70">
        <f t="shared" si="98"/>
        <v>0.373</v>
      </c>
      <c r="K121" s="70">
        <f t="shared" si="99"/>
        <v>0.49733333333333335</v>
      </c>
      <c r="L121" s="70">
        <v>0.04</v>
      </c>
      <c r="M121" s="70">
        <v>0.2</v>
      </c>
      <c r="N121" s="70">
        <f t="shared" si="100"/>
        <v>0.10119402985074627</v>
      </c>
      <c r="O121" s="70">
        <f t="shared" si="117"/>
        <v>8.1633615987619166</v>
      </c>
      <c r="P121" s="70">
        <f t="shared" si="101"/>
        <v>0.32217119971739028</v>
      </c>
      <c r="Q121" s="70">
        <f t="shared" si="102"/>
        <v>0.83333333333333337</v>
      </c>
      <c r="R121" s="70">
        <v>24.3</v>
      </c>
      <c r="S121" s="70">
        <f>1-0.769</f>
        <v>0.23099999999999998</v>
      </c>
      <c r="T121" s="70">
        <f>(R121/100+S121)/2</f>
        <v>0.23699999999999999</v>
      </c>
      <c r="U121" s="70">
        <v>0.45</v>
      </c>
      <c r="V121" s="70">
        <v>0.82</v>
      </c>
      <c r="W121" s="70">
        <f>(V121+U121+J121)/3</f>
        <v>0.54766666666666663</v>
      </c>
      <c r="X121" s="70" t="s">
        <v>225</v>
      </c>
      <c r="Y121" s="70">
        <v>0.1</v>
      </c>
      <c r="Z121" s="70">
        <f t="shared" si="118"/>
        <v>2.0901215500875145</v>
      </c>
      <c r="AA121" s="70">
        <v>6.6</v>
      </c>
      <c r="AB121" s="70">
        <v>11.5</v>
      </c>
      <c r="AC121" s="70">
        <v>0.62</v>
      </c>
      <c r="AD121" s="70"/>
      <c r="AE121" s="70">
        <v>6.27</v>
      </c>
      <c r="AF121" s="131">
        <f t="shared" si="103"/>
        <v>0.25603686971363726</v>
      </c>
      <c r="AG121" s="70">
        <v>1</v>
      </c>
      <c r="AH121" s="70">
        <v>29</v>
      </c>
      <c r="AI121" s="57">
        <f t="shared" si="104"/>
        <v>7.4421547134717145E-2</v>
      </c>
      <c r="AJ121" s="57">
        <f t="shared" si="105"/>
        <v>0.10379428192734258</v>
      </c>
      <c r="AK121" s="57">
        <f t="shared" si="106"/>
        <v>5.3360999999999992E-2</v>
      </c>
      <c r="AL121" s="53">
        <f t="shared" si="107"/>
        <v>2.020013422228037</v>
      </c>
      <c r="AM121" s="53">
        <f t="shared" si="108"/>
        <v>39.312899999999992</v>
      </c>
      <c r="AN121" s="80">
        <f t="shared" si="109"/>
        <v>0.48325679957608542</v>
      </c>
      <c r="AO121" s="80">
        <f t="shared" si="110"/>
        <v>2.25</v>
      </c>
      <c r="AP121" s="145">
        <f t="shared" si="111"/>
        <v>0.67337696734686603</v>
      </c>
      <c r="AQ121" s="145">
        <f t="shared" si="112"/>
        <v>4.3686080941402343</v>
      </c>
      <c r="AR121" s="100">
        <f t="shared" si="113"/>
        <v>0.19974614382478198</v>
      </c>
      <c r="AS121" s="100">
        <f t="shared" si="114"/>
        <v>0.38440000000000002</v>
      </c>
      <c r="AT121" s="25">
        <f t="shared" si="115"/>
        <v>0.25813752596556089</v>
      </c>
      <c r="AU121" s="25">
        <f t="shared" si="116"/>
        <v>0.6419908792111112</v>
      </c>
      <c r="AV121" s="53">
        <f>AA121*P121</f>
        <v>2.1263299181347759</v>
      </c>
      <c r="AW121" s="53">
        <f>AA121^2</f>
        <v>43.559999999999995</v>
      </c>
      <c r="AX121" s="100">
        <f>P121*R121</f>
        <v>7.8287601531325839</v>
      </c>
      <c r="AY121" s="100">
        <f>R121*R121</f>
        <v>590.49</v>
      </c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  <c r="BY121" s="15"/>
      <c r="BZ121" s="15"/>
      <c r="CA121" s="15"/>
      <c r="CB121" s="15"/>
      <c r="CC121" s="15"/>
      <c r="CD121" s="15"/>
      <c r="CE121" s="15"/>
      <c r="CF121" s="15"/>
      <c r="CG121" s="15"/>
      <c r="CH121" s="15"/>
      <c r="CI121" s="15"/>
      <c r="CJ121" s="15"/>
      <c r="CK121" s="15"/>
      <c r="CL121" s="15"/>
      <c r="CM121" s="15"/>
      <c r="CN121" s="15"/>
      <c r="CO121" s="15"/>
      <c r="CP121" s="15"/>
      <c r="CQ121" s="15"/>
      <c r="CR121" s="15"/>
    </row>
    <row r="122" spans="1:96" s="107" customFormat="1" ht="14">
      <c r="A122" s="42" t="s">
        <v>118</v>
      </c>
      <c r="B122" s="43">
        <v>5</v>
      </c>
      <c r="C122" s="43">
        <v>4</v>
      </c>
      <c r="D122" s="44" t="s">
        <v>3</v>
      </c>
      <c r="E122" s="45">
        <f t="shared" si="97"/>
        <v>2.166666666666667</v>
      </c>
      <c r="F122" s="45">
        <v>33.200000000000003</v>
      </c>
      <c r="G122" s="25">
        <f t="shared" si="119"/>
        <v>1.5519733333333336</v>
      </c>
      <c r="H122" s="45">
        <f>(G122+I122)/2</f>
        <v>1.1509866666666668</v>
      </c>
      <c r="I122" s="81">
        <v>0.75</v>
      </c>
      <c r="J122" s="25">
        <f t="shared" si="98"/>
        <v>0.621</v>
      </c>
      <c r="K122" s="57">
        <f t="shared" si="99"/>
        <v>0.82799999999999996</v>
      </c>
      <c r="L122" s="45">
        <v>0.26</v>
      </c>
      <c r="M122" s="45">
        <v>0.4</v>
      </c>
      <c r="N122" s="70">
        <f t="shared" si="100"/>
        <v>0.20776119402985077</v>
      </c>
      <c r="O122" s="53">
        <f t="shared" si="117"/>
        <v>114.20027418926209</v>
      </c>
      <c r="P122" s="25">
        <f t="shared" si="101"/>
        <v>2.3029717035892117E-2</v>
      </c>
      <c r="Q122" s="45">
        <f t="shared" si="102"/>
        <v>0.61111111111111094</v>
      </c>
      <c r="R122" s="45">
        <v>40.9</v>
      </c>
      <c r="S122" s="45">
        <v>0.433</v>
      </c>
      <c r="T122" s="45">
        <f>(R122/100+S122)/2</f>
        <v>0.42099999999999999</v>
      </c>
      <c r="U122" s="45">
        <v>0.65</v>
      </c>
      <c r="V122" s="45">
        <v>0.54</v>
      </c>
      <c r="W122" s="45">
        <f>(V122+U122+J122)/3</f>
        <v>0.60366666666666668</v>
      </c>
      <c r="X122" s="45">
        <f>18/127</f>
        <v>0.14173228346456693</v>
      </c>
      <c r="Y122" s="45">
        <f>X122</f>
        <v>0.14173228346456693</v>
      </c>
      <c r="Z122" s="25">
        <f t="shared" si="118"/>
        <v>2.0396931062236865</v>
      </c>
      <c r="AA122" s="45">
        <v>15</v>
      </c>
      <c r="AB122" s="45">
        <v>9.1999999999999993</v>
      </c>
      <c r="AC122" s="45">
        <v>33</v>
      </c>
      <c r="AD122" s="75"/>
      <c r="AE122" s="45">
        <v>3.79</v>
      </c>
      <c r="AF122" s="131">
        <f t="shared" si="103"/>
        <v>1.7860667329426365E-2</v>
      </c>
      <c r="AG122" s="15">
        <v>1</v>
      </c>
      <c r="AH122" s="15">
        <v>53</v>
      </c>
      <c r="AI122" s="57">
        <f t="shared" si="104"/>
        <v>9.9718674765412862E-3</v>
      </c>
      <c r="AJ122" s="57">
        <f t="shared" si="105"/>
        <v>5.3036786675325956E-4</v>
      </c>
      <c r="AK122" s="57">
        <f t="shared" si="106"/>
        <v>0.18748899999999999</v>
      </c>
      <c r="AL122" s="53">
        <f t="shared" si="107"/>
        <v>8.7282627566031126E-2</v>
      </c>
      <c r="AM122" s="53">
        <f t="shared" si="108"/>
        <v>14.364100000000001</v>
      </c>
      <c r="AN122" s="80">
        <f t="shared" si="109"/>
        <v>4.9897720244432925E-2</v>
      </c>
      <c r="AO122" s="80">
        <f t="shared" si="110"/>
        <v>4.6944444444444455</v>
      </c>
      <c r="AP122" s="145">
        <f t="shared" si="111"/>
        <v>4.6973555076391345E-2</v>
      </c>
      <c r="AQ122" s="145">
        <f t="shared" si="112"/>
        <v>4.1603479675764312</v>
      </c>
      <c r="AR122" s="100">
        <f t="shared" si="113"/>
        <v>0.75998066218443983</v>
      </c>
      <c r="AS122" s="100">
        <f t="shared" si="114"/>
        <v>1089</v>
      </c>
      <c r="AT122" s="25">
        <f t="shared" si="115"/>
        <v>2.6506897245418017E-2</v>
      </c>
      <c r="AU122" s="25">
        <f t="shared" si="116"/>
        <v>1.3247703068444447</v>
      </c>
      <c r="AV122" s="53">
        <f>AA122*P122</f>
        <v>0.34544575553838175</v>
      </c>
      <c r="AW122" s="53">
        <f>AA122^2</f>
        <v>225</v>
      </c>
      <c r="AX122" s="100">
        <f>P122*R122</f>
        <v>0.94191542676798756</v>
      </c>
      <c r="AY122" s="100">
        <f>R122*R122</f>
        <v>1672.81</v>
      </c>
    </row>
    <row r="123" spans="1:96" s="19" customFormat="1" ht="14">
      <c r="A123" s="16" t="s">
        <v>119</v>
      </c>
      <c r="B123" s="14">
        <v>4</v>
      </c>
      <c r="C123" s="14">
        <v>3</v>
      </c>
      <c r="D123" s="22" t="s">
        <v>3</v>
      </c>
      <c r="E123" s="15">
        <f t="shared" si="97"/>
        <v>1.8333333333333335</v>
      </c>
      <c r="F123" s="18">
        <v>36.700000000000003</v>
      </c>
      <c r="G123" s="25">
        <f t="shared" si="119"/>
        <v>1.8210066666666669</v>
      </c>
      <c r="H123" s="15">
        <f>(G123+I123)/2</f>
        <v>1.2855033333333334</v>
      </c>
      <c r="I123" s="15">
        <v>0.75</v>
      </c>
      <c r="J123" s="25">
        <f t="shared" si="98"/>
        <v>0.51</v>
      </c>
      <c r="K123" s="57">
        <f t="shared" si="99"/>
        <v>0.68</v>
      </c>
      <c r="L123" s="18">
        <v>7.0000000000000007E-2</v>
      </c>
      <c r="M123" s="18">
        <v>0.2</v>
      </c>
      <c r="N123" s="70">
        <f t="shared" si="100"/>
        <v>0.10208955223880598</v>
      </c>
      <c r="O123" s="53">
        <f t="shared" si="117"/>
        <v>44.282384499772718</v>
      </c>
      <c r="P123" s="25">
        <f t="shared" si="101"/>
        <v>5.9391562349437134E-2</v>
      </c>
      <c r="Q123" s="15">
        <f t="shared" si="102"/>
        <v>0.7222222222222221</v>
      </c>
      <c r="R123" s="18">
        <v>45.6</v>
      </c>
      <c r="S123" s="15">
        <v>0.71599999999999997</v>
      </c>
      <c r="T123" s="15">
        <f>(R123/100+S123)/2</f>
        <v>0.58599999999999997</v>
      </c>
      <c r="U123" s="15">
        <v>0.43</v>
      </c>
      <c r="V123" s="15">
        <v>0.28000000000000003</v>
      </c>
      <c r="W123" s="15">
        <f>(V123+U123+J123)/3</f>
        <v>0.40666666666666668</v>
      </c>
      <c r="X123" s="15">
        <f>-1/142</f>
        <v>-7.0422535211267607E-3</v>
      </c>
      <c r="Y123" s="15">
        <f>X123</f>
        <v>-7.0422535211267607E-3</v>
      </c>
      <c r="Z123" s="25">
        <f t="shared" si="118"/>
        <v>2.0377369501807792</v>
      </c>
      <c r="AA123" s="15">
        <v>54</v>
      </c>
      <c r="AB123" s="15">
        <v>21</v>
      </c>
      <c r="AC123" s="15">
        <v>23</v>
      </c>
      <c r="AD123" s="92"/>
      <c r="AE123" s="18">
        <v>4.9000000000000004</v>
      </c>
      <c r="AF123" s="131">
        <f t="shared" si="103"/>
        <v>4.6016874953769438E-2</v>
      </c>
      <c r="AG123" s="18">
        <v>1</v>
      </c>
      <c r="AH123" s="18">
        <v>58</v>
      </c>
      <c r="AI123" s="57">
        <f t="shared" si="104"/>
        <v>4.2524358642196988E-2</v>
      </c>
      <c r="AJ123" s="57">
        <f t="shared" si="105"/>
        <v>3.5273576783070785E-3</v>
      </c>
      <c r="AK123" s="57">
        <f t="shared" si="106"/>
        <v>0.512656</v>
      </c>
      <c r="AL123" s="53">
        <f t="shared" si="107"/>
        <v>0.29101865551224199</v>
      </c>
      <c r="AM123" s="53">
        <f t="shared" si="108"/>
        <v>24.010000000000005</v>
      </c>
      <c r="AN123" s="80">
        <f t="shared" si="109"/>
        <v>0.10888453097396809</v>
      </c>
      <c r="AO123" s="80">
        <f t="shared" si="110"/>
        <v>3.3611111111111116</v>
      </c>
      <c r="AP123" s="145">
        <f t="shared" si="111"/>
        <v>0.12102438112841361</v>
      </c>
      <c r="AQ123" s="145">
        <f t="shared" si="112"/>
        <v>4.1523718781320635</v>
      </c>
      <c r="AR123" s="100">
        <f t="shared" si="113"/>
        <v>1.3660059340370541</v>
      </c>
      <c r="AS123" s="100">
        <f t="shared" si="114"/>
        <v>529</v>
      </c>
      <c r="AT123" s="25">
        <f t="shared" si="115"/>
        <v>7.634805137207594E-2</v>
      </c>
      <c r="AU123" s="25">
        <f t="shared" si="116"/>
        <v>1.6525188200111114</v>
      </c>
      <c r="AV123" s="53">
        <f>AA123*P123</f>
        <v>3.2071443668696054</v>
      </c>
      <c r="AW123" s="53">
        <f>AA123^2</f>
        <v>2916</v>
      </c>
      <c r="AX123" s="100">
        <f>P123*R123</f>
        <v>2.7082552431343334</v>
      </c>
      <c r="AY123" s="100">
        <f>R123*R123</f>
        <v>2079.36</v>
      </c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</row>
    <row r="124" spans="1:96" s="25" customFormat="1" ht="14">
      <c r="A124" s="16" t="s">
        <v>120</v>
      </c>
      <c r="B124" s="14">
        <v>2</v>
      </c>
      <c r="C124" s="14">
        <v>2</v>
      </c>
      <c r="D124" s="22" t="s">
        <v>8</v>
      </c>
      <c r="E124" s="15">
        <f t="shared" si="97"/>
        <v>1.3333333333333333</v>
      </c>
      <c r="F124" s="15">
        <v>53</v>
      </c>
      <c r="G124" s="25">
        <f t="shared" si="119"/>
        <v>3.0739333333333336</v>
      </c>
      <c r="H124" s="15">
        <f>(G124+I124)/2</f>
        <v>1.9119666666666668</v>
      </c>
      <c r="I124" s="15">
        <v>0.75</v>
      </c>
      <c r="J124" s="25">
        <f t="shared" si="98"/>
        <v>0.377</v>
      </c>
      <c r="K124" s="57">
        <f t="shared" si="99"/>
        <v>0.50266666666666671</v>
      </c>
      <c r="L124" s="15">
        <v>0.08</v>
      </c>
      <c r="M124" s="15">
        <v>0.2</v>
      </c>
      <c r="N124" s="70">
        <f t="shared" si="100"/>
        <v>0.10238805970149255</v>
      </c>
      <c r="O124" s="53">
        <f t="shared" si="117"/>
        <v>28.675082040181302</v>
      </c>
      <c r="P124" s="25">
        <f t="shared" si="101"/>
        <v>9.1717261569284475E-2</v>
      </c>
      <c r="Q124" s="15">
        <f t="shared" si="102"/>
        <v>0.88888888888888895</v>
      </c>
      <c r="R124" s="15">
        <v>70.7</v>
      </c>
      <c r="S124" s="15">
        <v>0.39400000000000002</v>
      </c>
      <c r="T124" s="15">
        <f>(R124/100+S124)/2</f>
        <v>0.55049999999999999</v>
      </c>
      <c r="U124" s="15">
        <v>0.27400000000000002</v>
      </c>
      <c r="V124" s="15">
        <v>0.64</v>
      </c>
      <c r="W124" s="15">
        <f>(V124+U124+J124)/3</f>
        <v>0.43033333333333329</v>
      </c>
      <c r="X124" s="15">
        <f>12/122</f>
        <v>9.8360655737704916E-2</v>
      </c>
      <c r="Y124" s="15">
        <f>X124</f>
        <v>9.8360655737704916E-2</v>
      </c>
      <c r="Z124" s="25">
        <f t="shared" si="118"/>
        <v>2.6098259827629047</v>
      </c>
      <c r="AA124" s="15">
        <v>55.8</v>
      </c>
      <c r="AB124" s="15">
        <v>51.2</v>
      </c>
      <c r="AC124" s="15">
        <v>2.2999999999999998</v>
      </c>
      <c r="AD124" s="75"/>
      <c r="AE124" s="15">
        <v>6.23</v>
      </c>
      <c r="AF124" s="131">
        <f t="shared" si="103"/>
        <v>9.1013723312311876E-2</v>
      </c>
      <c r="AG124" s="15">
        <v>1</v>
      </c>
      <c r="AH124" s="15">
        <v>58</v>
      </c>
      <c r="AI124" s="57">
        <f t="shared" si="104"/>
        <v>3.6136601058298086E-2</v>
      </c>
      <c r="AJ124" s="57">
        <f t="shared" si="105"/>
        <v>8.4120560697685462E-3</v>
      </c>
      <c r="AK124" s="57">
        <f t="shared" si="106"/>
        <v>0.15523600000000001</v>
      </c>
      <c r="AL124" s="53">
        <f t="shared" si="107"/>
        <v>0.57139853957664233</v>
      </c>
      <c r="AM124" s="53">
        <f t="shared" si="108"/>
        <v>38.812900000000006</v>
      </c>
      <c r="AN124" s="80">
        <f t="shared" si="109"/>
        <v>0.1222896820923793</v>
      </c>
      <c r="AO124" s="80">
        <f t="shared" si="110"/>
        <v>1.7777777777777777</v>
      </c>
      <c r="AP124" s="145">
        <f t="shared" si="111"/>
        <v>0.23936609231138023</v>
      </c>
      <c r="AQ124" s="145">
        <f t="shared" si="112"/>
        <v>6.8111916603043614</v>
      </c>
      <c r="AR124" s="100">
        <f t="shared" si="113"/>
        <v>0.21094970160935428</v>
      </c>
      <c r="AS124" s="100">
        <f t="shared" si="114"/>
        <v>5.2899999999999991</v>
      </c>
      <c r="AT124" s="25">
        <f t="shared" si="115"/>
        <v>0.17536034687841962</v>
      </c>
      <c r="AU124" s="25">
        <f t="shared" si="116"/>
        <v>3.6556165344444449</v>
      </c>
      <c r="AV124" s="53">
        <f>AA124*P124</f>
        <v>5.1178231955660731</v>
      </c>
      <c r="AW124" s="53">
        <f>AA124^2</f>
        <v>3113.64</v>
      </c>
      <c r="AX124" s="100">
        <f>P124*R124</f>
        <v>6.4844103929484129</v>
      </c>
      <c r="AY124" s="100">
        <f>R124*R124</f>
        <v>4998.4900000000007</v>
      </c>
    </row>
    <row r="125" spans="1:96" s="99" customFormat="1" ht="14">
      <c r="A125" s="16" t="s">
        <v>121</v>
      </c>
      <c r="B125" s="14">
        <v>1</v>
      </c>
      <c r="C125" s="14">
        <v>1</v>
      </c>
      <c r="D125" s="22" t="s">
        <v>8</v>
      </c>
      <c r="E125" s="15">
        <f t="shared" si="97"/>
        <v>1</v>
      </c>
      <c r="F125" s="15"/>
      <c r="G125" s="25">
        <f t="shared" si="119"/>
        <v>-1</v>
      </c>
      <c r="H125" s="15">
        <v>0.75</v>
      </c>
      <c r="I125" s="15">
        <v>0.75</v>
      </c>
      <c r="J125" s="25">
        <f t="shared" si="98"/>
        <v>0.19000000000000006</v>
      </c>
      <c r="K125" s="57">
        <f t="shared" si="99"/>
        <v>0.25333333333333341</v>
      </c>
      <c r="L125" s="15">
        <v>0</v>
      </c>
      <c r="M125" s="15">
        <v>0.2</v>
      </c>
      <c r="N125" s="70">
        <f t="shared" si="100"/>
        <v>0.1</v>
      </c>
      <c r="O125" s="53">
        <f t="shared" si="117"/>
        <v>3.0141966190638643</v>
      </c>
      <c r="P125" s="25">
        <f t="shared" si="101"/>
        <v>0.87253763850906763</v>
      </c>
      <c r="Q125" s="15">
        <f t="shared" si="102"/>
        <v>1</v>
      </c>
      <c r="R125" s="15"/>
      <c r="S125" s="109">
        <v>0.15</v>
      </c>
      <c r="T125" s="70">
        <f>S125</f>
        <v>0.15</v>
      </c>
      <c r="U125" s="15"/>
      <c r="V125" s="15"/>
      <c r="W125" s="25">
        <f>(K125+K125)/2</f>
        <v>0.25333333333333341</v>
      </c>
      <c r="X125" s="15" t="s">
        <v>223</v>
      </c>
      <c r="Y125" s="15">
        <v>0.1</v>
      </c>
      <c r="Z125" s="25">
        <f t="shared" si="118"/>
        <v>1.6542261780175223</v>
      </c>
      <c r="AA125" s="15" t="s">
        <v>223</v>
      </c>
      <c r="AB125" s="15">
        <v>90</v>
      </c>
      <c r="AC125" s="15">
        <v>0.01</v>
      </c>
      <c r="AD125" s="75"/>
      <c r="AE125" s="108">
        <v>8.1</v>
      </c>
      <c r="AF125" s="131">
        <f t="shared" si="103"/>
        <v>0.54881163609402639</v>
      </c>
      <c r="AG125" s="39"/>
      <c r="AH125" s="15">
        <v>45</v>
      </c>
      <c r="AI125" s="57">
        <f t="shared" si="104"/>
        <v>0.13088064577636013</v>
      </c>
      <c r="AJ125" s="57">
        <f t="shared" si="105"/>
        <v>0.76132193061498032</v>
      </c>
      <c r="AK125" s="57">
        <f t="shared" si="106"/>
        <v>2.2499999999999999E-2</v>
      </c>
      <c r="AL125" s="53">
        <f t="shared" si="107"/>
        <v>7.0675548719234476</v>
      </c>
      <c r="AM125" s="53">
        <f t="shared" si="108"/>
        <v>65.61</v>
      </c>
      <c r="AN125" s="80">
        <f t="shared" si="109"/>
        <v>0.87253763850906763</v>
      </c>
      <c r="AO125" s="80">
        <f t="shared" si="110"/>
        <v>1</v>
      </c>
      <c r="AP125" s="145">
        <f t="shared" si="111"/>
        <v>1.4433746029272894</v>
      </c>
      <c r="AQ125" s="145">
        <f t="shared" si="112"/>
        <v>2.7364642480384593</v>
      </c>
      <c r="AR125" s="100">
        <f t="shared" si="113"/>
        <v>8.7253763850906763E-3</v>
      </c>
      <c r="AS125" s="100">
        <f t="shared" si="114"/>
        <v>1E-4</v>
      </c>
      <c r="AT125" s="25">
        <f t="shared" si="115"/>
        <v>0.65440322888180069</v>
      </c>
      <c r="AU125" s="25">
        <f t="shared" si="116"/>
        <v>0.5625</v>
      </c>
      <c r="AV125" s="53"/>
      <c r="AW125" s="53"/>
      <c r="AX125" s="100"/>
      <c r="AY125" s="100"/>
    </row>
    <row r="126" spans="1:96" s="74" customFormat="1" ht="14">
      <c r="A126" s="16" t="s">
        <v>122</v>
      </c>
      <c r="B126" s="14">
        <v>4</v>
      </c>
      <c r="C126" s="14">
        <v>4</v>
      </c>
      <c r="D126" s="22" t="s">
        <v>3</v>
      </c>
      <c r="E126" s="15">
        <f t="shared" si="97"/>
        <v>2</v>
      </c>
      <c r="F126" s="15">
        <v>29.5</v>
      </c>
      <c r="G126" s="25">
        <f t="shared" si="119"/>
        <v>1.2675666666666667</v>
      </c>
      <c r="H126" s="15">
        <f>(G126+I126)/2</f>
        <v>1.0087833333333334</v>
      </c>
      <c r="I126" s="15">
        <v>0.75</v>
      </c>
      <c r="J126" s="25">
        <f t="shared" si="98"/>
        <v>0.57599999999999996</v>
      </c>
      <c r="K126" s="57">
        <f t="shared" si="99"/>
        <v>0.7679999999999999</v>
      </c>
      <c r="L126" s="15">
        <v>0.06</v>
      </c>
      <c r="M126" s="15">
        <v>0.2</v>
      </c>
      <c r="N126" s="70">
        <f t="shared" si="100"/>
        <v>0.1017910447761194</v>
      </c>
      <c r="O126" s="53">
        <f t="shared" si="117"/>
        <v>42.826143957052146</v>
      </c>
      <c r="P126" s="25">
        <f t="shared" si="101"/>
        <v>6.141108577595672E-2</v>
      </c>
      <c r="Q126" s="15">
        <f t="shared" si="102"/>
        <v>0.66666666666666674</v>
      </c>
      <c r="R126" s="15">
        <v>47.2</v>
      </c>
      <c r="S126" s="15">
        <v>0.57199999999999995</v>
      </c>
      <c r="T126" s="15">
        <f t="shared" ref="T126:T131" si="126">(R126/100+S126)/2</f>
        <v>0.52200000000000002</v>
      </c>
      <c r="U126" s="15"/>
      <c r="V126" s="15">
        <v>0.65</v>
      </c>
      <c r="W126" s="25">
        <f>(V126+K126)/2</f>
        <v>0.70899999999999996</v>
      </c>
      <c r="X126" s="15" t="s">
        <v>225</v>
      </c>
      <c r="Y126" s="15">
        <v>0.1</v>
      </c>
      <c r="Z126" s="25">
        <f t="shared" si="118"/>
        <v>2.4286446227674445</v>
      </c>
      <c r="AA126" s="15">
        <v>30.9</v>
      </c>
      <c r="AB126" s="15">
        <v>46</v>
      </c>
      <c r="AC126" s="15">
        <v>27</v>
      </c>
      <c r="AD126" s="75"/>
      <c r="AE126" s="15">
        <v>4.24</v>
      </c>
      <c r="AF126" s="131">
        <f t="shared" si="103"/>
        <v>5.6709392869995282E-2</v>
      </c>
      <c r="AG126" s="15">
        <v>1</v>
      </c>
      <c r="AH126" s="15">
        <v>16</v>
      </c>
      <c r="AI126" s="57">
        <f t="shared" si="104"/>
        <v>3.5127141063847241E-2</v>
      </c>
      <c r="AJ126" s="57">
        <f t="shared" si="105"/>
        <v>3.7713214561819136E-3</v>
      </c>
      <c r="AK126" s="57">
        <f t="shared" si="106"/>
        <v>0.32718399999999992</v>
      </c>
      <c r="AL126" s="53">
        <f t="shared" si="107"/>
        <v>0.26038300369005651</v>
      </c>
      <c r="AM126" s="53">
        <f t="shared" si="108"/>
        <v>17.977600000000002</v>
      </c>
      <c r="AN126" s="80">
        <f t="shared" si="109"/>
        <v>0.12282217155191344</v>
      </c>
      <c r="AO126" s="80">
        <f t="shared" si="110"/>
        <v>4</v>
      </c>
      <c r="AP126" s="145">
        <f t="shared" si="111"/>
        <v>0.1491457032480876</v>
      </c>
      <c r="AQ126" s="145">
        <f t="shared" si="112"/>
        <v>5.8983147036972232</v>
      </c>
      <c r="AR126" s="100">
        <f t="shared" si="113"/>
        <v>1.6580993159508315</v>
      </c>
      <c r="AS126" s="100">
        <f t="shared" si="114"/>
        <v>729</v>
      </c>
      <c r="AT126" s="25">
        <f t="shared" si="115"/>
        <v>6.1950479812688877E-2</v>
      </c>
      <c r="AU126" s="25">
        <f t="shared" si="116"/>
        <v>1.0176438136111112</v>
      </c>
      <c r="AV126" s="53">
        <f>AA126*P126</f>
        <v>1.8976025504770626</v>
      </c>
      <c r="AW126" s="53">
        <f>AA126^2</f>
        <v>954.81</v>
      </c>
      <c r="AX126" s="100">
        <f t="shared" ref="AX126:AX131" si="127">P126*R126</f>
        <v>2.8986032486251574</v>
      </c>
      <c r="AY126" s="100">
        <f t="shared" ref="AY126:AY131" si="128">R126*R126</f>
        <v>2227.84</v>
      </c>
    </row>
    <row r="127" spans="1:96" s="39" customFormat="1" ht="14">
      <c r="A127" s="46" t="s">
        <v>123</v>
      </c>
      <c r="B127" s="47">
        <v>1</v>
      </c>
      <c r="C127" s="47">
        <v>1</v>
      </c>
      <c r="D127" s="48" t="s">
        <v>8</v>
      </c>
      <c r="E127" s="49">
        <f t="shared" si="97"/>
        <v>1</v>
      </c>
      <c r="F127" s="49">
        <v>22.9</v>
      </c>
      <c r="G127" s="49">
        <f t="shared" si="119"/>
        <v>0.76024666666666674</v>
      </c>
      <c r="H127" s="49">
        <f>(G127+I127)/2</f>
        <v>0.81512333333333342</v>
      </c>
      <c r="I127" s="49">
        <v>0.87</v>
      </c>
      <c r="J127" s="49">
        <f t="shared" si="98"/>
        <v>0.10099999999999998</v>
      </c>
      <c r="K127" s="49">
        <f t="shared" si="99"/>
        <v>0.13466666666666663</v>
      </c>
      <c r="L127" s="49">
        <v>2.08</v>
      </c>
      <c r="M127" s="49">
        <v>0.4</v>
      </c>
      <c r="N127" s="49">
        <f t="shared" si="100"/>
        <v>0.26208955223880598</v>
      </c>
      <c r="O127" s="49">
        <f t="shared" si="117"/>
        <v>3.3597936293038968</v>
      </c>
      <c r="P127" s="49">
        <f t="shared" si="101"/>
        <v>0.78278617384749904</v>
      </c>
      <c r="Q127" s="49">
        <f t="shared" si="102"/>
        <v>1</v>
      </c>
      <c r="R127" s="49">
        <v>30.9</v>
      </c>
      <c r="S127" s="49">
        <f>1-0.89</f>
        <v>0.10999999999999999</v>
      </c>
      <c r="T127" s="49">
        <f t="shared" si="126"/>
        <v>0.20949999999999999</v>
      </c>
      <c r="U127" s="49">
        <v>0.64400000000000002</v>
      </c>
      <c r="V127" s="49">
        <v>0.84</v>
      </c>
      <c r="W127" s="49">
        <f>(V127+U127+J127)/3</f>
        <v>0.52833333333333332</v>
      </c>
      <c r="X127" s="49">
        <f>1/107</f>
        <v>9.3457943925233638E-3</v>
      </c>
      <c r="Y127" s="49">
        <f>X127</f>
        <v>9.3457943925233638E-3</v>
      </c>
      <c r="Z127" s="49">
        <f t="shared" si="118"/>
        <v>2.1110366448708255</v>
      </c>
      <c r="AA127" s="49">
        <v>10.5</v>
      </c>
      <c r="AB127" s="49">
        <v>5.2</v>
      </c>
      <c r="AC127" s="49">
        <v>17</v>
      </c>
      <c r="AD127" s="49"/>
      <c r="AE127" s="49">
        <v>8.99</v>
      </c>
      <c r="AF127" s="131">
        <f t="shared" si="103"/>
        <v>0.62832330725866736</v>
      </c>
      <c r="AG127" s="49">
        <v>1</v>
      </c>
      <c r="AH127" s="49">
        <v>23</v>
      </c>
      <c r="AI127" s="57">
        <f t="shared" si="104"/>
        <v>8.6106479123224888E-2</v>
      </c>
      <c r="AJ127" s="57">
        <f t="shared" si="105"/>
        <v>0.61275419396680697</v>
      </c>
      <c r="AK127" s="57">
        <f t="shared" si="106"/>
        <v>1.2099999999999998E-2</v>
      </c>
      <c r="AL127" s="53">
        <f t="shared" si="107"/>
        <v>7.037247702889017</v>
      </c>
      <c r="AM127" s="53">
        <f t="shared" si="108"/>
        <v>80.820100000000011</v>
      </c>
      <c r="AN127" s="80">
        <f t="shared" si="109"/>
        <v>0.78278617384749904</v>
      </c>
      <c r="AO127" s="80">
        <f t="shared" si="110"/>
        <v>1</v>
      </c>
      <c r="AP127" s="145">
        <f t="shared" si="111"/>
        <v>1.6524902980902951</v>
      </c>
      <c r="AQ127" s="145">
        <f t="shared" si="112"/>
        <v>4.4564757159874722</v>
      </c>
      <c r="AR127" s="100">
        <f t="shared" si="113"/>
        <v>13.307364955407484</v>
      </c>
      <c r="AS127" s="100">
        <f t="shared" si="114"/>
        <v>289</v>
      </c>
      <c r="AT127" s="25">
        <f t="shared" si="115"/>
        <v>0.63806727531381968</v>
      </c>
      <c r="AU127" s="25">
        <f t="shared" si="116"/>
        <v>0.66442604854444454</v>
      </c>
      <c r="AV127" s="53">
        <f>AA127*P127</f>
        <v>8.2192548253987407</v>
      </c>
      <c r="AW127" s="53">
        <f>AA127^2</f>
        <v>110.25</v>
      </c>
      <c r="AX127" s="100">
        <f t="shared" si="127"/>
        <v>24.188092771887721</v>
      </c>
      <c r="AY127" s="100">
        <f t="shared" si="128"/>
        <v>954.81</v>
      </c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/>
      <c r="CO127" s="15"/>
      <c r="CP127" s="15"/>
      <c r="CQ127" s="15"/>
      <c r="CR127" s="15"/>
    </row>
    <row r="128" spans="1:96" s="49" customFormat="1" ht="14">
      <c r="A128" s="54" t="s">
        <v>124</v>
      </c>
      <c r="B128" s="55">
        <v>1</v>
      </c>
      <c r="C128" s="55">
        <v>1</v>
      </c>
      <c r="D128" s="56" t="s">
        <v>8</v>
      </c>
      <c r="E128" s="57">
        <f t="shared" si="97"/>
        <v>1</v>
      </c>
      <c r="F128" s="57"/>
      <c r="G128" s="57">
        <f t="shared" si="119"/>
        <v>-1</v>
      </c>
      <c r="H128" s="57">
        <v>0.75</v>
      </c>
      <c r="I128" s="57">
        <v>0.75</v>
      </c>
      <c r="J128" s="57">
        <f t="shared" si="98"/>
        <v>7.4000000000000066E-2</v>
      </c>
      <c r="K128" s="57">
        <f t="shared" si="99"/>
        <v>9.866666666666675E-2</v>
      </c>
      <c r="L128" s="57">
        <v>0.38</v>
      </c>
      <c r="M128" s="57">
        <v>0.2</v>
      </c>
      <c r="N128" s="57">
        <f t="shared" si="100"/>
        <v>0.11134328358208956</v>
      </c>
      <c r="O128" s="57">
        <f t="shared" si="117"/>
        <v>2.6117224605819933</v>
      </c>
      <c r="P128" s="57">
        <f t="shared" si="101"/>
        <v>1.0069982701814089</v>
      </c>
      <c r="Q128" s="57">
        <f t="shared" si="102"/>
        <v>1</v>
      </c>
      <c r="R128" s="57">
        <v>36.200000000000003</v>
      </c>
      <c r="S128" s="57">
        <f>1-0.907</f>
        <v>9.2999999999999972E-2</v>
      </c>
      <c r="T128" s="57">
        <f t="shared" si="126"/>
        <v>0.22750000000000001</v>
      </c>
      <c r="U128" s="57">
        <v>0.33700000000000002</v>
      </c>
      <c r="V128" s="57">
        <v>0.8</v>
      </c>
      <c r="W128" s="57">
        <f>(V128+U128+J128)/3</f>
        <v>0.40366666666666667</v>
      </c>
      <c r="X128" s="57">
        <f>-5/107</f>
        <v>-4.6728971962616821E-2</v>
      </c>
      <c r="Y128" s="57">
        <f>X128</f>
        <v>-4.6728971962616821E-2</v>
      </c>
      <c r="Z128" s="57">
        <f t="shared" si="118"/>
        <v>1.7939819364259377</v>
      </c>
      <c r="AA128" s="57" t="s">
        <v>223</v>
      </c>
      <c r="AB128" s="57">
        <v>6.5</v>
      </c>
      <c r="AC128" s="57">
        <v>4.4000000000000004</v>
      </c>
      <c r="AD128" s="57"/>
      <c r="AE128" s="57">
        <v>9.26</v>
      </c>
      <c r="AF128" s="131">
        <f t="shared" si="103"/>
        <v>0.68689608620441578</v>
      </c>
      <c r="AG128" s="57">
        <v>1</v>
      </c>
      <c r="AH128" s="57">
        <v>44</v>
      </c>
      <c r="AI128" s="57">
        <f t="shared" si="104"/>
        <v>9.3650839126870999E-2</v>
      </c>
      <c r="AJ128" s="57">
        <f t="shared" si="105"/>
        <v>1.0140455161483497</v>
      </c>
      <c r="AK128" s="57">
        <f t="shared" si="106"/>
        <v>8.6489999999999952E-3</v>
      </c>
      <c r="AL128" s="53">
        <f t="shared" si="107"/>
        <v>9.324803981879846</v>
      </c>
      <c r="AM128" s="53">
        <f t="shared" si="108"/>
        <v>85.747599999999991</v>
      </c>
      <c r="AN128" s="80">
        <f t="shared" si="109"/>
        <v>1.0069982701814089</v>
      </c>
      <c r="AO128" s="80">
        <f t="shared" si="110"/>
        <v>1</v>
      </c>
      <c r="AP128" s="145">
        <f t="shared" si="111"/>
        <v>1.8065367067176135</v>
      </c>
      <c r="AQ128" s="145">
        <f t="shared" si="112"/>
        <v>3.2183711882225574</v>
      </c>
      <c r="AR128" s="100">
        <f t="shared" si="113"/>
        <v>4.4307923887981993</v>
      </c>
      <c r="AS128" s="100">
        <f t="shared" si="114"/>
        <v>19.360000000000003</v>
      </c>
      <c r="AT128" s="25">
        <f t="shared" si="115"/>
        <v>0.75524870263605659</v>
      </c>
      <c r="AU128" s="25">
        <f t="shared" si="116"/>
        <v>0.5625</v>
      </c>
      <c r="AV128" s="53"/>
      <c r="AW128" s="53"/>
      <c r="AX128" s="100">
        <f t="shared" si="127"/>
        <v>36.453337380567007</v>
      </c>
      <c r="AY128" s="100">
        <f t="shared" si="128"/>
        <v>1310.4400000000003</v>
      </c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  <c r="BY128" s="15"/>
      <c r="BZ128" s="15"/>
      <c r="CA128" s="15"/>
      <c r="CB128" s="15"/>
      <c r="CC128" s="15"/>
      <c r="CD128" s="15"/>
      <c r="CE128" s="15"/>
      <c r="CF128" s="15"/>
      <c r="CG128" s="15"/>
      <c r="CH128" s="15"/>
      <c r="CI128" s="15"/>
      <c r="CJ128" s="15"/>
      <c r="CK128" s="15"/>
      <c r="CL128" s="15"/>
      <c r="CM128" s="15"/>
      <c r="CN128" s="15"/>
      <c r="CO128" s="15"/>
      <c r="CP128" s="15"/>
      <c r="CQ128" s="15"/>
      <c r="CR128" s="15"/>
    </row>
    <row r="129" spans="1:96" s="53" customFormat="1" ht="14">
      <c r="A129" s="50" t="s">
        <v>125</v>
      </c>
      <c r="B129" s="51">
        <v>4</v>
      </c>
      <c r="C129" s="51">
        <v>4</v>
      </c>
      <c r="D129" s="52" t="s">
        <v>3</v>
      </c>
      <c r="E129" s="53">
        <f t="shared" si="97"/>
        <v>2</v>
      </c>
      <c r="F129" s="53">
        <v>41.8</v>
      </c>
      <c r="G129" s="53">
        <f t="shared" si="119"/>
        <v>2.2130266666666665</v>
      </c>
      <c r="H129" s="53">
        <f>(G129+I129)/2</f>
        <v>1.4815133333333332</v>
      </c>
      <c r="I129" s="53">
        <v>0.75</v>
      </c>
      <c r="J129" s="25">
        <f t="shared" si="98"/>
        <v>0.42699999999999994</v>
      </c>
      <c r="K129" s="57">
        <f t="shared" si="99"/>
        <v>0.56933333333333325</v>
      </c>
      <c r="L129" s="53">
        <v>0.08</v>
      </c>
      <c r="M129" s="53">
        <v>0.4</v>
      </c>
      <c r="N129" s="70">
        <f t="shared" si="100"/>
        <v>0.20238805970149254</v>
      </c>
      <c r="O129" s="53">
        <f t="shared" si="117"/>
        <v>90.601380726197974</v>
      </c>
      <c r="P129" s="53">
        <f t="shared" si="101"/>
        <v>2.9028255186838652E-2</v>
      </c>
      <c r="Q129" s="53">
        <f t="shared" si="102"/>
        <v>0.66666666666666674</v>
      </c>
      <c r="R129" s="53">
        <v>40.5</v>
      </c>
      <c r="S129" s="53">
        <v>0.435</v>
      </c>
      <c r="T129" s="53">
        <f t="shared" si="126"/>
        <v>0.42000000000000004</v>
      </c>
      <c r="U129" s="53">
        <v>0.70499999999999996</v>
      </c>
      <c r="V129" s="53">
        <v>0.6</v>
      </c>
      <c r="W129" s="53">
        <f>(V129+U129+J129)/3</f>
        <v>0.57733333333333325</v>
      </c>
      <c r="X129" s="53">
        <f>-57/114</f>
        <v>-0.5</v>
      </c>
      <c r="Y129" s="53">
        <f>X129</f>
        <v>-0.5</v>
      </c>
      <c r="Z129" s="53">
        <f t="shared" si="118"/>
        <v>1.3931335404362779</v>
      </c>
      <c r="AA129" s="53">
        <v>46.2</v>
      </c>
      <c r="AB129" s="53">
        <v>7.3</v>
      </c>
      <c r="AC129" s="53">
        <v>5.8</v>
      </c>
      <c r="AD129" s="75"/>
      <c r="AE129" s="53">
        <v>5.73</v>
      </c>
      <c r="AF129" s="131">
        <f t="shared" si="103"/>
        <v>1.5376515559364366E-2</v>
      </c>
      <c r="AG129" s="15">
        <v>1</v>
      </c>
      <c r="AH129" s="15">
        <v>38</v>
      </c>
      <c r="AI129" s="57">
        <f t="shared" si="104"/>
        <v>1.2627291006274813E-2</v>
      </c>
      <c r="AJ129" s="57">
        <f t="shared" si="105"/>
        <v>8.4263959919222509E-4</v>
      </c>
      <c r="AK129" s="57">
        <f t="shared" si="106"/>
        <v>0.189225</v>
      </c>
      <c r="AL129" s="53">
        <f t="shared" si="107"/>
        <v>0.1663319022205855</v>
      </c>
      <c r="AM129" s="53">
        <f t="shared" si="108"/>
        <v>32.832900000000002</v>
      </c>
      <c r="AN129" s="80">
        <f t="shared" si="109"/>
        <v>5.8056510373677303E-2</v>
      </c>
      <c r="AO129" s="80">
        <f t="shared" si="110"/>
        <v>4</v>
      </c>
      <c r="AP129" s="145">
        <f t="shared" si="111"/>
        <v>4.0440235921128276E-2</v>
      </c>
      <c r="AQ129" s="145">
        <f t="shared" si="112"/>
        <v>1.9408210614885184</v>
      </c>
      <c r="AR129" s="100">
        <f t="shared" si="113"/>
        <v>0.16836388008366418</v>
      </c>
      <c r="AS129" s="100">
        <f t="shared" si="114"/>
        <v>33.64</v>
      </c>
      <c r="AT129" s="25">
        <f t="shared" si="115"/>
        <v>4.3005747102703953E-2</v>
      </c>
      <c r="AU129" s="25">
        <f t="shared" si="116"/>
        <v>2.1948817568444441</v>
      </c>
      <c r="AV129" s="53">
        <f>AA129*P129</f>
        <v>1.3411053896319458</v>
      </c>
      <c r="AW129" s="53">
        <f>AA129^2</f>
        <v>2134.44</v>
      </c>
      <c r="AX129" s="100">
        <f t="shared" si="127"/>
        <v>1.1756443350669654</v>
      </c>
      <c r="AY129" s="100">
        <f t="shared" si="128"/>
        <v>1640.25</v>
      </c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  <c r="BY129" s="15"/>
      <c r="BZ129" s="15"/>
      <c r="CA129" s="15"/>
      <c r="CB129" s="15"/>
      <c r="CC129" s="15"/>
      <c r="CD129" s="15"/>
      <c r="CE129" s="15"/>
      <c r="CF129" s="15"/>
      <c r="CG129" s="15"/>
      <c r="CH129" s="15"/>
      <c r="CI129" s="15"/>
      <c r="CJ129" s="15"/>
      <c r="CK129" s="15"/>
      <c r="CL129" s="15"/>
      <c r="CM129" s="15"/>
      <c r="CN129" s="15"/>
      <c r="CO129" s="15"/>
      <c r="CP129" s="15"/>
      <c r="CQ129" s="15"/>
      <c r="CR129" s="15"/>
    </row>
    <row r="130" spans="1:96" s="13" customFormat="1" ht="14">
      <c r="A130" s="16" t="s">
        <v>126</v>
      </c>
      <c r="B130" s="14">
        <v>5</v>
      </c>
      <c r="C130" s="14">
        <v>4</v>
      </c>
      <c r="D130" s="22" t="s">
        <v>3</v>
      </c>
      <c r="E130" s="15">
        <f t="shared" si="97"/>
        <v>2.166666666666667</v>
      </c>
      <c r="F130" s="15">
        <v>28.5</v>
      </c>
      <c r="G130" s="25">
        <f t="shared" si="119"/>
        <v>1.1907000000000001</v>
      </c>
      <c r="H130" s="15">
        <f>(G130+I130)/2</f>
        <v>0.97035000000000005</v>
      </c>
      <c r="I130" s="15">
        <v>0.75</v>
      </c>
      <c r="J130" s="25">
        <f t="shared" si="98"/>
        <v>0.66200000000000003</v>
      </c>
      <c r="K130" s="57">
        <f t="shared" si="99"/>
        <v>0.88266666666666671</v>
      </c>
      <c r="L130" s="15">
        <v>0.06</v>
      </c>
      <c r="M130" s="15">
        <v>0.2</v>
      </c>
      <c r="N130" s="70">
        <f t="shared" si="100"/>
        <v>0.1017910447761194</v>
      </c>
      <c r="O130" s="53">
        <f t="shared" si="117"/>
        <v>69.090463293207662</v>
      </c>
      <c r="P130" s="25">
        <f t="shared" si="101"/>
        <v>3.8066035088500517E-2</v>
      </c>
      <c r="Q130" s="15">
        <f t="shared" si="102"/>
        <v>0.61111111111111094</v>
      </c>
      <c r="R130" s="15">
        <v>34</v>
      </c>
      <c r="S130" s="15">
        <v>0.75900000000000001</v>
      </c>
      <c r="T130" s="15">
        <f t="shared" si="126"/>
        <v>0.54949999999999999</v>
      </c>
      <c r="U130" s="15"/>
      <c r="V130" s="15">
        <v>0.45</v>
      </c>
      <c r="W130" s="25">
        <f>(V130+K130)/2</f>
        <v>0.66633333333333333</v>
      </c>
      <c r="X130" s="15" t="s">
        <v>225</v>
      </c>
      <c r="Y130" s="15">
        <v>0.1</v>
      </c>
      <c r="Z130" s="25">
        <f t="shared" si="118"/>
        <v>2.2347298993735114</v>
      </c>
      <c r="AA130" s="15">
        <v>63</v>
      </c>
      <c r="AB130" s="15"/>
      <c r="AC130" s="15">
        <v>16.274000000000001</v>
      </c>
      <c r="AD130" s="75"/>
      <c r="AE130" s="15">
        <v>3.38</v>
      </c>
      <c r="AF130" s="131">
        <f t="shared" si="103"/>
        <v>3.2344983560027879E-2</v>
      </c>
      <c r="AG130" s="15">
        <v>1</v>
      </c>
      <c r="AH130" s="15">
        <v>58</v>
      </c>
      <c r="AI130" s="57">
        <f t="shared" si="104"/>
        <v>2.8892120632171892E-2</v>
      </c>
      <c r="AJ130" s="57">
        <f t="shared" si="105"/>
        <v>1.4490230273589526E-3</v>
      </c>
      <c r="AK130" s="57">
        <f t="shared" si="106"/>
        <v>0.57608100000000007</v>
      </c>
      <c r="AL130" s="53">
        <f t="shared" si="107"/>
        <v>0.12866319859913175</v>
      </c>
      <c r="AM130" s="53">
        <f t="shared" si="108"/>
        <v>11.424399999999999</v>
      </c>
      <c r="AN130" s="80">
        <f t="shared" si="109"/>
        <v>8.2476409358417796E-2</v>
      </c>
      <c r="AO130" s="80">
        <f t="shared" si="110"/>
        <v>4.6944444444444455</v>
      </c>
      <c r="AP130" s="145">
        <f t="shared" si="111"/>
        <v>8.5067306762873315E-2</v>
      </c>
      <c r="AQ130" s="145">
        <f t="shared" si="112"/>
        <v>4.9940177231539442</v>
      </c>
      <c r="AR130" s="100">
        <f t="shared" si="113"/>
        <v>0.61948665503025746</v>
      </c>
      <c r="AS130" s="100">
        <f t="shared" si="114"/>
        <v>264.84307600000005</v>
      </c>
      <c r="AT130" s="25">
        <f t="shared" si="115"/>
        <v>3.6937377148126477E-2</v>
      </c>
      <c r="AU130" s="25">
        <f t="shared" si="116"/>
        <v>0.94157912250000009</v>
      </c>
      <c r="AV130" s="53">
        <f>AA130*P130</f>
        <v>2.3981602105755324</v>
      </c>
      <c r="AW130" s="53">
        <f>AA130^2</f>
        <v>3969</v>
      </c>
      <c r="AX130" s="100">
        <f t="shared" si="127"/>
        <v>1.2942451930090175</v>
      </c>
      <c r="AY130" s="100">
        <f t="shared" si="128"/>
        <v>1156</v>
      </c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  <c r="BU130" s="15"/>
      <c r="BV130" s="15"/>
      <c r="BW130" s="15"/>
      <c r="BX130" s="15"/>
      <c r="BY130" s="15"/>
      <c r="BZ130" s="15"/>
      <c r="CA130" s="15"/>
      <c r="CB130" s="15"/>
      <c r="CC130" s="15"/>
      <c r="CD130" s="15"/>
      <c r="CE130" s="15"/>
      <c r="CF130" s="15"/>
      <c r="CG130" s="15"/>
      <c r="CH130" s="15"/>
      <c r="CI130" s="15"/>
      <c r="CJ130" s="15"/>
      <c r="CK130" s="15"/>
      <c r="CL130" s="15"/>
      <c r="CM130" s="15"/>
      <c r="CN130" s="15"/>
      <c r="CO130" s="15"/>
      <c r="CP130" s="15"/>
      <c r="CQ130" s="15"/>
      <c r="CR130" s="15"/>
    </row>
    <row r="131" spans="1:96" s="13" customFormat="1" ht="14">
      <c r="A131" s="16" t="s">
        <v>127</v>
      </c>
      <c r="B131" s="14">
        <v>4</v>
      </c>
      <c r="C131" s="14">
        <v>4</v>
      </c>
      <c r="D131" s="22" t="s">
        <v>3</v>
      </c>
      <c r="E131" s="15">
        <f t="shared" si="97"/>
        <v>2</v>
      </c>
      <c r="F131" s="15">
        <v>32.4</v>
      </c>
      <c r="G131" s="25">
        <f t="shared" si="119"/>
        <v>1.4904799999999998</v>
      </c>
      <c r="H131" s="15">
        <f>(G131+I131)/2</f>
        <v>1.1202399999999999</v>
      </c>
      <c r="I131" s="15">
        <v>0.75</v>
      </c>
      <c r="J131" s="25">
        <f t="shared" si="98"/>
        <v>0.65300000000000002</v>
      </c>
      <c r="K131" s="57">
        <f t="shared" si="99"/>
        <v>0.8706666666666667</v>
      </c>
      <c r="L131" s="15">
        <v>0.73</v>
      </c>
      <c r="M131" s="15">
        <v>0.6</v>
      </c>
      <c r="N131" s="70">
        <f t="shared" si="100"/>
        <v>0.32179104477611942</v>
      </c>
      <c r="O131" s="53">
        <f t="shared" si="117"/>
        <v>102.04311528915858</v>
      </c>
      <c r="P131" s="25">
        <f t="shared" si="101"/>
        <v>2.577341932914724E-2</v>
      </c>
      <c r="Q131" s="15">
        <f t="shared" si="102"/>
        <v>0.66666666666666674</v>
      </c>
      <c r="R131" s="15">
        <v>43.7</v>
      </c>
      <c r="S131" s="15">
        <f>1-0.423</f>
        <v>0.57699999999999996</v>
      </c>
      <c r="T131" s="15">
        <f t="shared" si="126"/>
        <v>0.50700000000000001</v>
      </c>
      <c r="U131" s="15">
        <v>0.17599999999999999</v>
      </c>
      <c r="V131" s="15">
        <f>1-0.69</f>
        <v>0.31000000000000005</v>
      </c>
      <c r="W131" s="15">
        <f>(V131+U131+J131)/3</f>
        <v>0.37966666666666665</v>
      </c>
      <c r="X131" s="15">
        <v>3.3000000000000002E-2</v>
      </c>
      <c r="Y131" s="15">
        <f>X131</f>
        <v>3.3000000000000002E-2</v>
      </c>
      <c r="Z131" s="25">
        <f t="shared" si="118"/>
        <v>1.8461661013785884</v>
      </c>
      <c r="AA131" s="15">
        <v>70</v>
      </c>
      <c r="AB131" s="15">
        <v>21</v>
      </c>
      <c r="AC131" s="15">
        <v>123</v>
      </c>
      <c r="AD131" s="75"/>
      <c r="AE131" s="15">
        <v>3.47</v>
      </c>
      <c r="AF131" s="131">
        <f t="shared" si="103"/>
        <v>1.8092020183303161E-2</v>
      </c>
      <c r="AG131" s="15">
        <v>1</v>
      </c>
      <c r="AH131" s="15">
        <v>58</v>
      </c>
      <c r="AI131" s="57">
        <f t="shared" si="104"/>
        <v>1.4871262952917956E-2</v>
      </c>
      <c r="AJ131" s="57">
        <f t="shared" si="105"/>
        <v>6.6426914391606059E-4</v>
      </c>
      <c r="AK131" s="57">
        <f t="shared" si="106"/>
        <v>0.33292899999999997</v>
      </c>
      <c r="AL131" s="53">
        <f t="shared" si="107"/>
        <v>8.9433765072140931E-2</v>
      </c>
      <c r="AM131" s="53">
        <f t="shared" si="108"/>
        <v>12.040900000000001</v>
      </c>
      <c r="AN131" s="80">
        <f t="shared" si="109"/>
        <v>5.1546838658294479E-2</v>
      </c>
      <c r="AO131" s="80">
        <f t="shared" si="110"/>
        <v>4</v>
      </c>
      <c r="AP131" s="145">
        <f t="shared" si="111"/>
        <v>4.7582013082087316E-2</v>
      </c>
      <c r="AQ131" s="145">
        <f t="shared" si="112"/>
        <v>3.4083292738794162</v>
      </c>
      <c r="AR131" s="100">
        <f t="shared" si="113"/>
        <v>3.1701305774851103</v>
      </c>
      <c r="AS131" s="100">
        <f t="shared" si="114"/>
        <v>15129</v>
      </c>
      <c r="AT131" s="25">
        <f t="shared" si="115"/>
        <v>2.8872415269283903E-2</v>
      </c>
      <c r="AU131" s="25">
        <f t="shared" si="116"/>
        <v>1.2549376575999998</v>
      </c>
      <c r="AV131" s="53">
        <f>AA131*P131</f>
        <v>1.8041393530403067</v>
      </c>
      <c r="AW131" s="53">
        <f>AA131^2</f>
        <v>4900</v>
      </c>
      <c r="AX131" s="100">
        <f t="shared" si="127"/>
        <v>1.1262984246837344</v>
      </c>
      <c r="AY131" s="100">
        <f t="shared" si="128"/>
        <v>1909.6900000000003</v>
      </c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  <c r="BY131" s="15"/>
      <c r="BZ131" s="15"/>
      <c r="CA131" s="15"/>
      <c r="CB131" s="15"/>
      <c r="CC131" s="15"/>
      <c r="CD131" s="15"/>
      <c r="CE131" s="15"/>
      <c r="CF131" s="15"/>
      <c r="CG131" s="15"/>
      <c r="CH131" s="15"/>
      <c r="CI131" s="15"/>
      <c r="CJ131" s="15"/>
      <c r="CK131" s="15"/>
      <c r="CL131" s="15"/>
      <c r="CM131" s="15"/>
      <c r="CN131" s="15"/>
      <c r="CO131" s="15"/>
      <c r="CP131" s="15"/>
      <c r="CQ131" s="15"/>
      <c r="CR131" s="15"/>
    </row>
    <row r="132" spans="1:96" s="70" customFormat="1" ht="14">
      <c r="A132" s="112" t="s">
        <v>128</v>
      </c>
      <c r="B132" s="113">
        <v>7</v>
      </c>
      <c r="C132" s="113">
        <v>7</v>
      </c>
      <c r="D132" s="114" t="s">
        <v>4</v>
      </c>
      <c r="E132" s="115">
        <f t="shared" ref="E132:E163" si="129">1+(-2+B132+C132)/6</f>
        <v>3</v>
      </c>
      <c r="F132" s="115"/>
      <c r="G132" s="115">
        <f t="shared" si="119"/>
        <v>-1</v>
      </c>
      <c r="H132" s="115">
        <v>1</v>
      </c>
      <c r="I132" s="115">
        <v>1</v>
      </c>
      <c r="J132" s="115">
        <f t="shared" ref="J132:J163" si="130">1-AE132/10</f>
        <v>0.89200000000000002</v>
      </c>
      <c r="K132" s="115">
        <f t="shared" ref="K132:K163" si="131">4*J132/3</f>
        <v>1.1893333333333334</v>
      </c>
      <c r="L132" s="115">
        <v>0</v>
      </c>
      <c r="M132" s="115">
        <v>0.2</v>
      </c>
      <c r="N132" s="115">
        <f t="shared" ref="N132:N163" si="132">(L132/16.75+M132)/2</f>
        <v>0.1</v>
      </c>
      <c r="O132" s="115">
        <f t="shared" si="117"/>
        <v>961.02459329423175</v>
      </c>
      <c r="P132" s="115">
        <f t="shared" ref="P132:P163" si="133">2.63/O132</f>
        <v>2.7366625353309631E-3</v>
      </c>
      <c r="Q132" s="115">
        <f t="shared" ref="Q132:Q163" si="134">1-(E132-1)/3</f>
        <v>0.33333333333333337</v>
      </c>
      <c r="R132" s="115" t="s">
        <v>223</v>
      </c>
      <c r="S132" s="130">
        <v>0.9</v>
      </c>
      <c r="T132" s="115">
        <f>S132</f>
        <v>0.9</v>
      </c>
      <c r="U132" s="115" t="s">
        <v>223</v>
      </c>
      <c r="V132" s="115">
        <v>0.6</v>
      </c>
      <c r="W132" s="25">
        <f>(V132+K132)/2</f>
        <v>0.89466666666666672</v>
      </c>
      <c r="X132" s="115" t="s">
        <v>223</v>
      </c>
      <c r="Y132" s="115">
        <v>1</v>
      </c>
      <c r="Z132" s="115">
        <f t="shared" si="118"/>
        <v>2.5384548154835338</v>
      </c>
      <c r="AA132" s="115"/>
      <c r="AB132" s="115"/>
      <c r="AC132" s="115">
        <v>24</v>
      </c>
      <c r="AD132" s="115"/>
      <c r="AE132" s="115">
        <v>1.08</v>
      </c>
      <c r="AF132" s="131">
        <f t="shared" ref="AF132:AF163" si="135">Z132/O132</f>
        <v>2.6414046354236729E-3</v>
      </c>
      <c r="AG132" s="115">
        <v>1</v>
      </c>
      <c r="AH132" s="115">
        <v>16</v>
      </c>
      <c r="AI132" s="57">
        <f t="shared" ref="AI132:AI163" si="136">P132*S132</f>
        <v>2.462996281797867E-3</v>
      </c>
      <c r="AJ132" s="57">
        <f t="shared" ref="AJ132:AJ163" si="137">P132*P132</f>
        <v>7.4893218322840949E-6</v>
      </c>
      <c r="AK132" s="57">
        <f t="shared" ref="AK132:AK163" si="138">S132*S132</f>
        <v>0.81</v>
      </c>
      <c r="AL132" s="53">
        <f t="shared" ref="AL132:AL163" si="139">AE132*P132</f>
        <v>2.9555955381574401E-3</v>
      </c>
      <c r="AM132" s="53">
        <f t="shared" ref="AM132:AM163" si="140">AE132^2</f>
        <v>1.1664000000000001</v>
      </c>
      <c r="AN132" s="80">
        <f t="shared" ref="AN132:AN163" si="141">P132*E132</f>
        <v>8.2099876059928897E-3</v>
      </c>
      <c r="AO132" s="80">
        <f t="shared" ref="AO132:AO163" si="142">E132^2</f>
        <v>9</v>
      </c>
      <c r="AP132" s="145">
        <f t="shared" ref="AP132:AP163" si="143">Z132*P132</f>
        <v>6.9468941911642601E-3</v>
      </c>
      <c r="AQ132" s="145">
        <f t="shared" ref="AQ132:AQ163" si="144">Z132*Z132</f>
        <v>6.443752850251542</v>
      </c>
      <c r="AR132" s="100">
        <f t="shared" ref="AR132:AR163" si="145">AC132*P132</f>
        <v>6.5679900847943118E-2</v>
      </c>
      <c r="AS132" s="100">
        <f t="shared" ref="AS132:AS163" si="146">AC132^2</f>
        <v>576</v>
      </c>
      <c r="AT132" s="25">
        <f t="shared" ref="AT132:AT163" si="147">H132*P132</f>
        <v>2.7366625353309631E-3</v>
      </c>
      <c r="AU132" s="25">
        <f t="shared" ref="AU132:AU163" si="148">H132^2</f>
        <v>1</v>
      </c>
      <c r="AV132" s="53"/>
      <c r="AW132" s="53"/>
      <c r="AX132" s="100"/>
      <c r="AY132" s="100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  <c r="BY132" s="15"/>
      <c r="BZ132" s="15"/>
      <c r="CA132" s="15"/>
      <c r="CB132" s="15"/>
      <c r="CC132" s="15"/>
      <c r="CD132" s="15"/>
      <c r="CE132" s="15"/>
      <c r="CF132" s="15"/>
      <c r="CG132" s="15"/>
      <c r="CH132" s="15"/>
      <c r="CI132" s="15"/>
      <c r="CJ132" s="15"/>
      <c r="CK132" s="15"/>
      <c r="CL132" s="15"/>
      <c r="CM132" s="15"/>
      <c r="CN132" s="15"/>
      <c r="CO132" s="15"/>
      <c r="CP132" s="15"/>
      <c r="CQ132" s="15"/>
      <c r="CR132" s="15"/>
    </row>
    <row r="133" spans="1:96" s="57" customFormat="1" ht="14">
      <c r="A133" s="67" t="s">
        <v>129</v>
      </c>
      <c r="B133" s="68">
        <v>1</v>
      </c>
      <c r="C133" s="68">
        <v>1</v>
      </c>
      <c r="D133" s="69" t="s">
        <v>8</v>
      </c>
      <c r="E133" s="70">
        <f t="shared" si="129"/>
        <v>1</v>
      </c>
      <c r="F133" s="70">
        <v>21</v>
      </c>
      <c r="G133" s="70">
        <f t="shared" si="119"/>
        <v>0.61420000000000008</v>
      </c>
      <c r="H133" s="70">
        <f>(G133+I133)/2</f>
        <v>0.68210000000000004</v>
      </c>
      <c r="I133" s="70">
        <v>0.75</v>
      </c>
      <c r="J133" s="70">
        <f t="shared" si="130"/>
        <v>1.9999999999999907E-2</v>
      </c>
      <c r="K133" s="70">
        <f t="shared" si="131"/>
        <v>2.6666666666666543E-2</v>
      </c>
      <c r="L133" s="70">
        <v>0.78</v>
      </c>
      <c r="M133" s="70">
        <v>0.4</v>
      </c>
      <c r="N133" s="70">
        <f t="shared" si="132"/>
        <v>0.22328358208955226</v>
      </c>
      <c r="O133" s="70">
        <f t="shared" ref="O133:O164" si="149">EXP(E133*(H133+K133+N133))</f>
        <v>2.5397108824792296</v>
      </c>
      <c r="P133" s="70">
        <f t="shared" si="133"/>
        <v>1.0355509432761225</v>
      </c>
      <c r="Q133" s="70">
        <f t="shared" si="134"/>
        <v>1</v>
      </c>
      <c r="R133" s="70">
        <v>25</v>
      </c>
      <c r="S133" s="70">
        <f>1-0.938</f>
        <v>6.2000000000000055E-2</v>
      </c>
      <c r="T133" s="70">
        <f>(R133/100+S133)/2</f>
        <v>0.15600000000000003</v>
      </c>
      <c r="U133" s="70">
        <v>0.48399999999999999</v>
      </c>
      <c r="V133" s="70">
        <v>0.83</v>
      </c>
      <c r="W133" s="70">
        <f>(V133+U133+J133)/3</f>
        <v>0.44466666666666671</v>
      </c>
      <c r="X133" s="70">
        <f>10/105</f>
        <v>9.5238095238095233E-2</v>
      </c>
      <c r="Y133" s="70">
        <f>X133</f>
        <v>9.5238095238095233E-2</v>
      </c>
      <c r="Z133" s="70">
        <f t="shared" ref="Z133:Z164" si="150">EXP(Q133*(Y133+W133+T133))</f>
        <v>2.0055227739391115</v>
      </c>
      <c r="AA133" s="70" t="s">
        <v>223</v>
      </c>
      <c r="AB133" s="70">
        <v>3.4</v>
      </c>
      <c r="AC133" s="70">
        <v>5</v>
      </c>
      <c r="AD133" s="70"/>
      <c r="AE133" s="143">
        <v>9.8000000000000007</v>
      </c>
      <c r="AF133" s="131">
        <f t="shared" si="135"/>
        <v>0.78966577958722162</v>
      </c>
      <c r="AG133" s="70">
        <v>1</v>
      </c>
      <c r="AH133" s="70">
        <v>21</v>
      </c>
      <c r="AI133" s="57">
        <f t="shared" si="136"/>
        <v>6.4204158483119653E-2</v>
      </c>
      <c r="AJ133" s="57">
        <f t="shared" si="137"/>
        <v>1.072365756120067</v>
      </c>
      <c r="AK133" s="57">
        <f t="shared" si="138"/>
        <v>3.8440000000000067E-3</v>
      </c>
      <c r="AL133" s="53">
        <f t="shared" si="139"/>
        <v>10.148399244106001</v>
      </c>
      <c r="AM133" s="53">
        <f t="shared" si="140"/>
        <v>96.04000000000002</v>
      </c>
      <c r="AN133" s="80">
        <f t="shared" si="141"/>
        <v>1.0355509432761225</v>
      </c>
      <c r="AO133" s="80">
        <f t="shared" si="142"/>
        <v>1</v>
      </c>
      <c r="AP133" s="145">
        <f t="shared" si="143"/>
        <v>2.0768210003143928</v>
      </c>
      <c r="AQ133" s="145">
        <f t="shared" si="144"/>
        <v>4.0221215967884287</v>
      </c>
      <c r="AR133" s="100">
        <f t="shared" si="145"/>
        <v>5.1777547163806128</v>
      </c>
      <c r="AS133" s="100">
        <f t="shared" si="146"/>
        <v>25</v>
      </c>
      <c r="AT133" s="25">
        <f t="shared" si="147"/>
        <v>0.70634929840864324</v>
      </c>
      <c r="AU133" s="25">
        <f t="shared" si="148"/>
        <v>0.46526041000000007</v>
      </c>
      <c r="AV133" s="53"/>
      <c r="AW133" s="53"/>
      <c r="AX133" s="100">
        <f>P133*R133</f>
        <v>25.888773581903063</v>
      </c>
      <c r="AY133" s="100">
        <f>R133*R133</f>
        <v>625</v>
      </c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  <c r="BY133" s="15"/>
      <c r="BZ133" s="15"/>
      <c r="CA133" s="15"/>
      <c r="CB133" s="15"/>
      <c r="CC133" s="15"/>
      <c r="CD133" s="15"/>
      <c r="CE133" s="15"/>
      <c r="CF133" s="15"/>
      <c r="CG133" s="15"/>
      <c r="CH133" s="15"/>
      <c r="CI133" s="15"/>
      <c r="CJ133" s="15"/>
      <c r="CK133" s="15"/>
      <c r="CL133" s="15"/>
      <c r="CM133" s="15"/>
      <c r="CN133" s="15"/>
      <c r="CO133" s="15"/>
      <c r="CP133" s="15"/>
      <c r="CQ133" s="15"/>
      <c r="CR133" s="15"/>
    </row>
    <row r="134" spans="1:96" s="13" customFormat="1" ht="14">
      <c r="A134" s="16" t="s">
        <v>130</v>
      </c>
      <c r="B134" s="14">
        <v>6</v>
      </c>
      <c r="C134" s="14">
        <v>5</v>
      </c>
      <c r="D134" s="22" t="s">
        <v>4</v>
      </c>
      <c r="E134" s="15">
        <f t="shared" si="129"/>
        <v>2.5</v>
      </c>
      <c r="F134" s="15"/>
      <c r="G134" s="25">
        <f t="shared" si="119"/>
        <v>-1</v>
      </c>
      <c r="H134" s="15">
        <v>0.75</v>
      </c>
      <c r="I134" s="15">
        <v>0.75</v>
      </c>
      <c r="J134" s="25">
        <f t="shared" si="130"/>
        <v>0.71399999999999997</v>
      </c>
      <c r="K134" s="57">
        <f t="shared" si="131"/>
        <v>0.95199999999999996</v>
      </c>
      <c r="L134" s="15">
        <v>0.12</v>
      </c>
      <c r="M134" s="15">
        <v>0.2</v>
      </c>
      <c r="N134" s="70">
        <f t="shared" si="132"/>
        <v>0.10358208955223881</v>
      </c>
      <c r="O134" s="53">
        <f t="shared" si="149"/>
        <v>91.282146778112391</v>
      </c>
      <c r="P134" s="25">
        <f t="shared" si="133"/>
        <v>2.8811767610954355E-2</v>
      </c>
      <c r="Q134" s="15">
        <f t="shared" si="134"/>
        <v>0.5</v>
      </c>
      <c r="R134" s="15"/>
      <c r="S134" s="109">
        <v>0.79</v>
      </c>
      <c r="T134" s="70">
        <f>S134</f>
        <v>0.79</v>
      </c>
      <c r="U134" s="15">
        <v>3.7999999999999999E-2</v>
      </c>
      <c r="V134" s="15">
        <v>0.56000000000000005</v>
      </c>
      <c r="W134" s="15">
        <f>(V134+U134+J134)/3</f>
        <v>0.43733333333333335</v>
      </c>
      <c r="X134" s="15" t="s">
        <v>225</v>
      </c>
      <c r="Y134" s="15">
        <v>0.1</v>
      </c>
      <c r="Z134" s="25">
        <f t="shared" si="150"/>
        <v>1.941899594976463</v>
      </c>
      <c r="AA134" s="15" t="s">
        <v>223</v>
      </c>
      <c r="AB134" s="15">
        <v>15</v>
      </c>
      <c r="AC134" s="15">
        <v>2.7</v>
      </c>
      <c r="AD134" s="75"/>
      <c r="AE134" s="15">
        <v>2.86</v>
      </c>
      <c r="AF134" s="131">
        <f t="shared" si="135"/>
        <v>2.1273596902763588E-2</v>
      </c>
      <c r="AG134" s="25">
        <v>1</v>
      </c>
      <c r="AH134" s="25">
        <v>18</v>
      </c>
      <c r="AI134" s="57">
        <f t="shared" si="136"/>
        <v>2.2761296412653943E-2</v>
      </c>
      <c r="AJ134" s="57">
        <f t="shared" si="137"/>
        <v>8.3011795286763842E-4</v>
      </c>
      <c r="AK134" s="57">
        <f t="shared" si="138"/>
        <v>0.6241000000000001</v>
      </c>
      <c r="AL134" s="53">
        <f t="shared" si="139"/>
        <v>8.2401655367329449E-2</v>
      </c>
      <c r="AM134" s="53">
        <f t="shared" si="140"/>
        <v>8.1795999999999989</v>
      </c>
      <c r="AN134" s="80">
        <f t="shared" si="141"/>
        <v>7.2029419027385883E-2</v>
      </c>
      <c r="AO134" s="80">
        <f t="shared" si="142"/>
        <v>6.25</v>
      </c>
      <c r="AP134" s="145">
        <f t="shared" si="143"/>
        <v>5.5949559854268235E-2</v>
      </c>
      <c r="AQ134" s="145">
        <f t="shared" si="144"/>
        <v>3.7709740369697511</v>
      </c>
      <c r="AR134" s="100">
        <f t="shared" si="145"/>
        <v>7.7791772549576768E-2</v>
      </c>
      <c r="AS134" s="100">
        <f t="shared" si="146"/>
        <v>7.2900000000000009</v>
      </c>
      <c r="AT134" s="25">
        <f t="shared" si="147"/>
        <v>2.1608825708215765E-2</v>
      </c>
      <c r="AU134" s="25">
        <f t="shared" si="148"/>
        <v>0.5625</v>
      </c>
      <c r="AV134" s="53"/>
      <c r="AW134" s="53"/>
      <c r="AX134" s="100"/>
      <c r="AY134" s="100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  <c r="BY134" s="15"/>
      <c r="BZ134" s="15"/>
      <c r="CA134" s="15"/>
      <c r="CB134" s="15"/>
      <c r="CC134" s="15"/>
      <c r="CD134" s="15"/>
      <c r="CE134" s="15"/>
      <c r="CF134" s="15"/>
      <c r="CG134" s="15"/>
      <c r="CH134" s="15"/>
      <c r="CI134" s="15"/>
      <c r="CJ134" s="15"/>
      <c r="CK134" s="15"/>
      <c r="CL134" s="15"/>
      <c r="CM134" s="15"/>
      <c r="CN134" s="15"/>
      <c r="CO134" s="15"/>
      <c r="CP134" s="15"/>
      <c r="CQ134" s="15"/>
      <c r="CR134" s="15"/>
    </row>
    <row r="135" spans="1:96" s="53" customFormat="1" ht="14">
      <c r="A135" s="50" t="s">
        <v>131</v>
      </c>
      <c r="B135" s="51">
        <v>4</v>
      </c>
      <c r="C135" s="51">
        <v>5</v>
      </c>
      <c r="D135" s="52" t="s">
        <v>3</v>
      </c>
      <c r="E135" s="53">
        <f t="shared" si="129"/>
        <v>2.166666666666667</v>
      </c>
      <c r="F135" s="53">
        <v>39.299999999999997</v>
      </c>
      <c r="G135" s="53">
        <f t="shared" ref="G135:G166" si="151">1.153*F135/15-1</f>
        <v>2.0208599999999999</v>
      </c>
      <c r="H135" s="53">
        <f>(G135+I135)/2</f>
        <v>1.3854299999999999</v>
      </c>
      <c r="I135" s="53">
        <v>0.75</v>
      </c>
      <c r="J135" s="25">
        <f t="shared" si="130"/>
        <v>0.54500000000000004</v>
      </c>
      <c r="K135" s="57">
        <f t="shared" si="131"/>
        <v>0.72666666666666668</v>
      </c>
      <c r="L135" s="53">
        <v>0.44</v>
      </c>
      <c r="M135" s="53">
        <v>0.6</v>
      </c>
      <c r="N135" s="70">
        <f t="shared" si="132"/>
        <v>0.31313432835820892</v>
      </c>
      <c r="O135" s="53">
        <f t="shared" si="149"/>
        <v>191.45774966303807</v>
      </c>
      <c r="P135" s="53">
        <f t="shared" si="133"/>
        <v>1.3736712170851005E-2</v>
      </c>
      <c r="Q135" s="53">
        <f t="shared" si="134"/>
        <v>0.61111111111111094</v>
      </c>
      <c r="R135" s="53">
        <v>30.6</v>
      </c>
      <c r="S135" s="53">
        <f>1-0.49</f>
        <v>0.51</v>
      </c>
      <c r="T135" s="53">
        <f>(R135/100+S135)/2</f>
        <v>0.40800000000000003</v>
      </c>
      <c r="U135" s="53">
        <v>0.60099999999999998</v>
      </c>
      <c r="V135" s="53">
        <f>1-0.24</f>
        <v>0.76</v>
      </c>
      <c r="W135" s="53">
        <f>(V135+U135+J135)/3</f>
        <v>0.63533333333333342</v>
      </c>
      <c r="X135" s="53">
        <f>-5/123</f>
        <v>-4.065040650406504E-2</v>
      </c>
      <c r="Y135" s="53">
        <f>X135</f>
        <v>-4.065040650406504E-2</v>
      </c>
      <c r="Z135" s="53">
        <f t="shared" si="150"/>
        <v>1.8455008009819778</v>
      </c>
      <c r="AA135" s="53">
        <v>22.3</v>
      </c>
      <c r="AB135" s="53">
        <v>5.6</v>
      </c>
      <c r="AC135" s="53">
        <v>178</v>
      </c>
      <c r="AD135" s="75"/>
      <c r="AE135" s="53">
        <v>4.55</v>
      </c>
      <c r="AF135" s="131">
        <f t="shared" si="135"/>
        <v>9.6392065833324769E-3</v>
      </c>
      <c r="AG135" s="15">
        <v>1</v>
      </c>
      <c r="AH135" s="15">
        <v>16</v>
      </c>
      <c r="AI135" s="57">
        <f t="shared" si="136"/>
        <v>7.0057232071340124E-3</v>
      </c>
      <c r="AJ135" s="57">
        <f t="shared" si="137"/>
        <v>1.8869726126480613E-4</v>
      </c>
      <c r="AK135" s="57">
        <f t="shared" si="138"/>
        <v>0.2601</v>
      </c>
      <c r="AL135" s="53">
        <f t="shared" si="139"/>
        <v>6.2502040377372073E-2</v>
      </c>
      <c r="AM135" s="53">
        <f t="shared" si="140"/>
        <v>20.702499999999997</v>
      </c>
      <c r="AN135" s="80">
        <f t="shared" si="141"/>
        <v>2.9762876370177181E-2</v>
      </c>
      <c r="AO135" s="80">
        <f t="shared" si="142"/>
        <v>4.6944444444444455</v>
      </c>
      <c r="AP135" s="145">
        <f t="shared" si="143"/>
        <v>2.5351113314164411E-2</v>
      </c>
      <c r="AQ135" s="145">
        <f t="shared" si="144"/>
        <v>3.4058732064251216</v>
      </c>
      <c r="AR135" s="100">
        <f t="shared" si="145"/>
        <v>2.4451347664114791</v>
      </c>
      <c r="AS135" s="100">
        <f t="shared" si="146"/>
        <v>31684</v>
      </c>
      <c r="AT135" s="25">
        <f t="shared" si="147"/>
        <v>1.9031253142862106E-2</v>
      </c>
      <c r="AU135" s="25">
        <f t="shared" si="148"/>
        <v>1.9194162848999998</v>
      </c>
      <c r="AV135" s="53">
        <f>AA135*P135</f>
        <v>0.30632868140997743</v>
      </c>
      <c r="AW135" s="53">
        <f>AA135^2</f>
        <v>497.29</v>
      </c>
      <c r="AX135" s="100">
        <f>P135*R135</f>
        <v>0.42034339242804075</v>
      </c>
      <c r="AY135" s="100">
        <f>R135*R135</f>
        <v>936.36000000000013</v>
      </c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  <c r="BU135" s="15"/>
      <c r="BV135" s="15"/>
      <c r="BW135" s="15"/>
      <c r="BX135" s="15"/>
      <c r="BY135" s="15"/>
      <c r="BZ135" s="15"/>
      <c r="CA135" s="15"/>
      <c r="CB135" s="15"/>
      <c r="CC135" s="15"/>
      <c r="CD135" s="15"/>
      <c r="CE135" s="15"/>
      <c r="CF135" s="15"/>
      <c r="CG135" s="15"/>
      <c r="CH135" s="15"/>
      <c r="CI135" s="15"/>
      <c r="CJ135" s="15"/>
      <c r="CK135" s="15"/>
      <c r="CL135" s="15"/>
      <c r="CM135" s="15"/>
      <c r="CN135" s="15"/>
      <c r="CO135" s="15"/>
      <c r="CP135" s="15"/>
      <c r="CQ135" s="15"/>
      <c r="CR135" s="15"/>
    </row>
    <row r="136" spans="1:96" s="13" customFormat="1" ht="14">
      <c r="A136" s="16" t="s">
        <v>132</v>
      </c>
      <c r="B136" s="14">
        <v>1</v>
      </c>
      <c r="C136" s="14">
        <v>1</v>
      </c>
      <c r="D136" s="22" t="s">
        <v>8</v>
      </c>
      <c r="E136" s="15">
        <f t="shared" si="129"/>
        <v>1</v>
      </c>
      <c r="F136" s="15"/>
      <c r="G136" s="25">
        <f t="shared" si="151"/>
        <v>-1</v>
      </c>
      <c r="H136" s="15">
        <v>0.75</v>
      </c>
      <c r="I136" s="15">
        <v>0.75</v>
      </c>
      <c r="J136" s="25">
        <f t="shared" si="130"/>
        <v>0.19000000000000006</v>
      </c>
      <c r="K136" s="57">
        <f t="shared" si="131"/>
        <v>0.25333333333333341</v>
      </c>
      <c r="L136" s="15">
        <v>0.03</v>
      </c>
      <c r="M136" s="15">
        <v>0.2</v>
      </c>
      <c r="N136" s="70">
        <f t="shared" si="132"/>
        <v>0.10089552238805971</v>
      </c>
      <c r="O136" s="53">
        <f t="shared" si="149"/>
        <v>3.0168971086122003</v>
      </c>
      <c r="P136" s="25">
        <f t="shared" si="133"/>
        <v>0.87175661128523652</v>
      </c>
      <c r="Q136" s="15">
        <f t="shared" si="134"/>
        <v>1</v>
      </c>
      <c r="R136" s="15"/>
      <c r="S136" s="109">
        <v>0.15</v>
      </c>
      <c r="T136" s="70">
        <f>S136</f>
        <v>0.15</v>
      </c>
      <c r="U136" s="15"/>
      <c r="V136" s="15">
        <v>0.45</v>
      </c>
      <c r="W136" s="25">
        <f>(V136+K136)/2</f>
        <v>0.35166666666666668</v>
      </c>
      <c r="X136" s="15" t="s">
        <v>223</v>
      </c>
      <c r="Y136" s="15">
        <v>0.1</v>
      </c>
      <c r="Z136" s="25">
        <f t="shared" si="150"/>
        <v>1.8251581971849244</v>
      </c>
      <c r="AA136" s="15" t="s">
        <v>223</v>
      </c>
      <c r="AB136" s="15">
        <v>4.2</v>
      </c>
      <c r="AC136" s="15">
        <v>2.1000000000000001E-2</v>
      </c>
      <c r="AD136" s="75"/>
      <c r="AE136" s="108">
        <v>8.1</v>
      </c>
      <c r="AF136" s="131">
        <f t="shared" si="135"/>
        <v>0.60497860267581804</v>
      </c>
      <c r="AG136" s="25"/>
      <c r="AH136" s="25">
        <v>45</v>
      </c>
      <c r="AI136" s="57">
        <f t="shared" si="136"/>
        <v>0.13076349169278548</v>
      </c>
      <c r="AJ136" s="57">
        <f t="shared" si="137"/>
        <v>0.7599595893195189</v>
      </c>
      <c r="AK136" s="57">
        <f t="shared" si="138"/>
        <v>2.2499999999999999E-2</v>
      </c>
      <c r="AL136" s="53">
        <f t="shared" si="139"/>
        <v>7.0612285514104158</v>
      </c>
      <c r="AM136" s="53">
        <f t="shared" si="140"/>
        <v>65.61</v>
      </c>
      <c r="AN136" s="80">
        <f t="shared" si="141"/>
        <v>0.87175661128523652</v>
      </c>
      <c r="AO136" s="80">
        <f t="shared" si="142"/>
        <v>1</v>
      </c>
      <c r="AP136" s="145">
        <f t="shared" si="143"/>
        <v>1.5910937250374013</v>
      </c>
      <c r="AQ136" s="145">
        <f t="shared" si="144"/>
        <v>3.3312024447513235</v>
      </c>
      <c r="AR136" s="100">
        <f t="shared" si="145"/>
        <v>1.8306888836989967E-2</v>
      </c>
      <c r="AS136" s="100">
        <f t="shared" si="146"/>
        <v>4.4100000000000004E-4</v>
      </c>
      <c r="AT136" s="25">
        <f t="shared" si="147"/>
        <v>0.65381745846392736</v>
      </c>
      <c r="AU136" s="25">
        <f t="shared" si="148"/>
        <v>0.5625</v>
      </c>
      <c r="AV136" s="53"/>
      <c r="AW136" s="53"/>
      <c r="AX136" s="100"/>
      <c r="AY136" s="100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  <c r="BY136" s="15"/>
      <c r="BZ136" s="15"/>
      <c r="CA136" s="15"/>
      <c r="CB136" s="15"/>
      <c r="CC136" s="15"/>
      <c r="CD136" s="15"/>
      <c r="CE136" s="15"/>
      <c r="CF136" s="15"/>
      <c r="CG136" s="15"/>
      <c r="CH136" s="15"/>
      <c r="CI136" s="15"/>
      <c r="CJ136" s="15"/>
      <c r="CK136" s="15"/>
      <c r="CL136" s="15"/>
      <c r="CM136" s="15"/>
      <c r="CN136" s="15"/>
      <c r="CO136" s="15"/>
      <c r="CP136" s="15"/>
      <c r="CQ136" s="15"/>
      <c r="CR136" s="15"/>
    </row>
    <row r="137" spans="1:96" s="13" customFormat="1" ht="14">
      <c r="A137" s="116" t="s">
        <v>133</v>
      </c>
      <c r="B137" s="117">
        <v>1</v>
      </c>
      <c r="C137" s="117">
        <v>2</v>
      </c>
      <c r="D137" s="118" t="s">
        <v>8</v>
      </c>
      <c r="E137" s="107">
        <f t="shared" si="129"/>
        <v>1.1666666666666667</v>
      </c>
      <c r="F137" s="107">
        <v>40.6</v>
      </c>
      <c r="G137" s="107">
        <f t="shared" si="151"/>
        <v>2.120786666666667</v>
      </c>
      <c r="H137" s="107">
        <f t="shared" ref="H137:H147" si="152">(G137+I137)/2</f>
        <v>1.4353933333333335</v>
      </c>
      <c r="I137" s="107">
        <v>0.75</v>
      </c>
      <c r="J137" s="107">
        <f t="shared" si="130"/>
        <v>0.28499999999999992</v>
      </c>
      <c r="K137" s="107">
        <f t="shared" si="131"/>
        <v>0.37999999999999989</v>
      </c>
      <c r="L137" s="107">
        <v>0.11</v>
      </c>
      <c r="M137" s="107">
        <v>0.2</v>
      </c>
      <c r="N137" s="107">
        <f t="shared" si="132"/>
        <v>0.10328358208955224</v>
      </c>
      <c r="O137" s="107">
        <f t="shared" si="149"/>
        <v>9.3788429387043433</v>
      </c>
      <c r="P137" s="107">
        <f t="shared" si="133"/>
        <v>0.28041838606195124</v>
      </c>
      <c r="Q137" s="107">
        <f t="shared" si="134"/>
        <v>0.94444444444444442</v>
      </c>
      <c r="R137" s="107">
        <v>30.6</v>
      </c>
      <c r="S137" s="107">
        <f>1-0.755</f>
        <v>0.245</v>
      </c>
      <c r="T137" s="107">
        <f t="shared" ref="T137:T147" si="153">(R137/100+S137)/2</f>
        <v>0.27549999999999997</v>
      </c>
      <c r="U137" s="107">
        <v>0.41699999999999998</v>
      </c>
      <c r="V137" s="107">
        <v>-0.06</v>
      </c>
      <c r="W137" s="107">
        <f t="shared" ref="W137:W146" si="154">(V137+U137+J137)/3</f>
        <v>0.21399999999999997</v>
      </c>
      <c r="X137" s="107">
        <f>75/124</f>
        <v>0.60483870967741937</v>
      </c>
      <c r="Y137" s="107">
        <f>X137</f>
        <v>0.60483870967741937</v>
      </c>
      <c r="Z137" s="107">
        <f t="shared" si="150"/>
        <v>2.8110051238137981</v>
      </c>
      <c r="AA137" s="107">
        <v>29</v>
      </c>
      <c r="AB137" s="107">
        <v>4.5</v>
      </c>
      <c r="AC137" s="107">
        <v>3.4</v>
      </c>
      <c r="AD137" s="107"/>
      <c r="AE137" s="107">
        <v>7.15</v>
      </c>
      <c r="AF137" s="131">
        <f t="shared" si="135"/>
        <v>0.29971768822499645</v>
      </c>
      <c r="AG137" s="107">
        <v>1</v>
      </c>
      <c r="AH137" s="15">
        <v>38</v>
      </c>
      <c r="AI137" s="57">
        <f t="shared" si="136"/>
        <v>6.8702504585178056E-2</v>
      </c>
      <c r="AJ137" s="57">
        <f t="shared" si="137"/>
        <v>7.8634471241589524E-2</v>
      </c>
      <c r="AK137" s="57">
        <f t="shared" si="138"/>
        <v>6.0024999999999995E-2</v>
      </c>
      <c r="AL137" s="53">
        <f t="shared" si="139"/>
        <v>2.0049914603429513</v>
      </c>
      <c r="AM137" s="53">
        <f t="shared" si="140"/>
        <v>51.122500000000002</v>
      </c>
      <c r="AN137" s="80">
        <f t="shared" si="141"/>
        <v>0.32715478373894313</v>
      </c>
      <c r="AO137" s="80">
        <f t="shared" si="142"/>
        <v>1.3611111111111114</v>
      </c>
      <c r="AP137" s="145">
        <f t="shared" si="143"/>
        <v>0.78825752003174065</v>
      </c>
      <c r="AQ137" s="145">
        <f t="shared" si="144"/>
        <v>7.9017498061074258</v>
      </c>
      <c r="AR137" s="100">
        <f t="shared" si="145"/>
        <v>0.95342251261063415</v>
      </c>
      <c r="AS137" s="100">
        <f t="shared" si="146"/>
        <v>11.559999999999999</v>
      </c>
      <c r="AT137" s="25">
        <f t="shared" si="147"/>
        <v>0.40251068189741779</v>
      </c>
      <c r="AU137" s="25">
        <f t="shared" si="148"/>
        <v>2.0603540213777785</v>
      </c>
      <c r="AV137" s="53">
        <f t="shared" ref="AV137:AV143" si="155">AA137*P137</f>
        <v>8.1321331957965857</v>
      </c>
      <c r="AW137" s="53">
        <f t="shared" ref="AW137:AW143" si="156">AA137^2</f>
        <v>841</v>
      </c>
      <c r="AX137" s="100">
        <f t="shared" ref="AX137:AX147" si="157">P137*R137</f>
        <v>8.5808026134957078</v>
      </c>
      <c r="AY137" s="100">
        <f t="shared" ref="AY137:AY147" si="158">R137*R137</f>
        <v>936.36000000000013</v>
      </c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  <c r="BY137" s="15"/>
      <c r="BZ137" s="15"/>
      <c r="CA137" s="15"/>
      <c r="CB137" s="15"/>
      <c r="CC137" s="15"/>
      <c r="CD137" s="15"/>
      <c r="CE137" s="15"/>
      <c r="CF137" s="15"/>
      <c r="CG137" s="15"/>
      <c r="CH137" s="15"/>
      <c r="CI137" s="15"/>
      <c r="CJ137" s="15"/>
      <c r="CK137" s="15"/>
      <c r="CL137" s="15"/>
      <c r="CM137" s="15"/>
      <c r="CN137" s="15"/>
      <c r="CO137" s="15"/>
      <c r="CP137" s="15"/>
      <c r="CQ137" s="15"/>
      <c r="CR137" s="15"/>
    </row>
    <row r="138" spans="1:96" s="13" customFormat="1" ht="14">
      <c r="A138" s="16" t="s">
        <v>134</v>
      </c>
      <c r="B138" s="14">
        <v>4</v>
      </c>
      <c r="C138" s="14">
        <v>3</v>
      </c>
      <c r="D138" s="22" t="s">
        <v>3</v>
      </c>
      <c r="E138" s="15">
        <f t="shared" si="129"/>
        <v>1.8333333333333335</v>
      </c>
      <c r="F138" s="15">
        <v>40.5</v>
      </c>
      <c r="G138" s="25">
        <f t="shared" si="151"/>
        <v>2.1131000000000002</v>
      </c>
      <c r="H138" s="15">
        <f t="shared" si="152"/>
        <v>1.4315500000000001</v>
      </c>
      <c r="I138" s="18">
        <v>0.75</v>
      </c>
      <c r="J138" s="25">
        <f t="shared" si="130"/>
        <v>0.34599999999999997</v>
      </c>
      <c r="K138" s="57">
        <f t="shared" si="131"/>
        <v>0.46133333333333332</v>
      </c>
      <c r="L138" s="15">
        <v>0.08</v>
      </c>
      <c r="M138" s="15">
        <v>0.2</v>
      </c>
      <c r="N138" s="70">
        <f t="shared" si="132"/>
        <v>0.10238805970149255</v>
      </c>
      <c r="O138" s="53">
        <f t="shared" si="149"/>
        <v>38.783602987689704</v>
      </c>
      <c r="P138" s="25">
        <f t="shared" si="133"/>
        <v>6.7812162805884424E-2</v>
      </c>
      <c r="Q138" s="15">
        <f t="shared" si="134"/>
        <v>0.7222222222222221</v>
      </c>
      <c r="R138" s="15">
        <v>50.9</v>
      </c>
      <c r="S138" s="15">
        <v>0.56899999999999995</v>
      </c>
      <c r="T138" s="15">
        <f t="shared" si="153"/>
        <v>0.53899999999999992</v>
      </c>
      <c r="U138" s="15">
        <v>0.223</v>
      </c>
      <c r="V138" s="15">
        <v>0.1</v>
      </c>
      <c r="W138" s="15">
        <f t="shared" si="154"/>
        <v>0.223</v>
      </c>
      <c r="X138" s="15" t="s">
        <v>225</v>
      </c>
      <c r="Y138" s="15">
        <v>0.1</v>
      </c>
      <c r="Z138" s="25">
        <f t="shared" si="150"/>
        <v>1.8636847111085764</v>
      </c>
      <c r="AA138" s="15">
        <v>37</v>
      </c>
      <c r="AB138" s="15">
        <v>1.9</v>
      </c>
      <c r="AC138" s="15">
        <v>7</v>
      </c>
      <c r="AD138" s="75"/>
      <c r="AE138" s="15">
        <v>6.54</v>
      </c>
      <c r="AF138" s="131">
        <f t="shared" si="135"/>
        <v>4.8053418649632119E-2</v>
      </c>
      <c r="AG138" s="15">
        <v>1</v>
      </c>
      <c r="AH138" s="15">
        <v>58</v>
      </c>
      <c r="AI138" s="57">
        <f t="shared" si="136"/>
        <v>3.8585120636548231E-2</v>
      </c>
      <c r="AJ138" s="57">
        <f t="shared" si="137"/>
        <v>4.5984894244117747E-3</v>
      </c>
      <c r="AK138" s="57">
        <f t="shared" si="138"/>
        <v>0.32376099999999997</v>
      </c>
      <c r="AL138" s="53">
        <f t="shared" si="139"/>
        <v>0.44349154475048413</v>
      </c>
      <c r="AM138" s="53">
        <f t="shared" si="140"/>
        <v>42.771599999999999</v>
      </c>
      <c r="AN138" s="80">
        <f t="shared" si="141"/>
        <v>0.12432229847745478</v>
      </c>
      <c r="AO138" s="80">
        <f t="shared" si="142"/>
        <v>3.3611111111111116</v>
      </c>
      <c r="AP138" s="145">
        <f t="shared" si="143"/>
        <v>0.12638049104853247</v>
      </c>
      <c r="AQ138" s="145">
        <f t="shared" si="144"/>
        <v>3.4733207024198576</v>
      </c>
      <c r="AR138" s="100">
        <f t="shared" si="145"/>
        <v>0.47468513964119097</v>
      </c>
      <c r="AS138" s="100">
        <f t="shared" si="146"/>
        <v>49</v>
      </c>
      <c r="AT138" s="25">
        <f t="shared" si="147"/>
        <v>9.7076501664763851E-2</v>
      </c>
      <c r="AU138" s="25">
        <f t="shared" si="148"/>
        <v>2.0493354025000001</v>
      </c>
      <c r="AV138" s="53">
        <f t="shared" si="155"/>
        <v>2.5090500238177236</v>
      </c>
      <c r="AW138" s="53">
        <f t="shared" si="156"/>
        <v>1369</v>
      </c>
      <c r="AX138" s="100">
        <f t="shared" si="157"/>
        <v>3.451639086819517</v>
      </c>
      <c r="AY138" s="100">
        <f t="shared" si="158"/>
        <v>2590.81</v>
      </c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  <c r="BX138" s="15"/>
      <c r="BY138" s="15"/>
      <c r="BZ138" s="15"/>
      <c r="CA138" s="15"/>
      <c r="CB138" s="15"/>
      <c r="CC138" s="15"/>
      <c r="CD138" s="15"/>
      <c r="CE138" s="15"/>
      <c r="CF138" s="15"/>
      <c r="CG138" s="15"/>
      <c r="CH138" s="15"/>
      <c r="CI138" s="15"/>
      <c r="CJ138" s="15"/>
      <c r="CK138" s="15"/>
      <c r="CL138" s="15"/>
      <c r="CM138" s="15"/>
      <c r="CN138" s="15"/>
      <c r="CO138" s="15"/>
      <c r="CP138" s="15"/>
      <c r="CQ138" s="15"/>
      <c r="CR138" s="15"/>
    </row>
    <row r="139" spans="1:96" s="81" customFormat="1" ht="14">
      <c r="A139" s="116" t="s">
        <v>135</v>
      </c>
      <c r="B139" s="117">
        <v>3</v>
      </c>
      <c r="C139" s="117">
        <v>3</v>
      </c>
      <c r="D139" s="118" t="s">
        <v>3</v>
      </c>
      <c r="E139" s="107">
        <f t="shared" si="129"/>
        <v>1.6666666666666665</v>
      </c>
      <c r="F139" s="136">
        <v>41</v>
      </c>
      <c r="G139" s="107">
        <f t="shared" si="151"/>
        <v>2.1515333333333335</v>
      </c>
      <c r="H139" s="107">
        <f t="shared" si="152"/>
        <v>1.4507666666666668</v>
      </c>
      <c r="I139" s="107">
        <v>0.75</v>
      </c>
      <c r="J139" s="107">
        <f t="shared" si="130"/>
        <v>0.36</v>
      </c>
      <c r="K139" s="107">
        <f t="shared" si="131"/>
        <v>0.48</v>
      </c>
      <c r="L139" s="136">
        <v>7.0000000000000007E-2</v>
      </c>
      <c r="M139" s="136">
        <v>0.2</v>
      </c>
      <c r="N139" s="107">
        <f t="shared" si="132"/>
        <v>0.10208955223880598</v>
      </c>
      <c r="O139" s="107">
        <f t="shared" si="149"/>
        <v>29.60945388004065</v>
      </c>
      <c r="P139" s="107">
        <f t="shared" si="133"/>
        <v>8.8822982370939607E-2</v>
      </c>
      <c r="Q139" s="107">
        <f t="shared" si="134"/>
        <v>0.77777777777777779</v>
      </c>
      <c r="R139" s="136">
        <v>53.2</v>
      </c>
      <c r="S139" s="107">
        <v>0.36</v>
      </c>
      <c r="T139" s="107">
        <f t="shared" si="153"/>
        <v>0.44600000000000001</v>
      </c>
      <c r="U139" s="107">
        <v>0.17399999999999999</v>
      </c>
      <c r="V139" s="107">
        <v>0.36</v>
      </c>
      <c r="W139" s="107">
        <f t="shared" si="154"/>
        <v>0.29799999999999999</v>
      </c>
      <c r="X139" s="136">
        <f>6/131</f>
        <v>4.5801526717557252E-2</v>
      </c>
      <c r="Y139" s="107">
        <f>X139</f>
        <v>4.5801526717557252E-2</v>
      </c>
      <c r="Z139" s="107">
        <f t="shared" si="150"/>
        <v>1.8483439505632235</v>
      </c>
      <c r="AA139" s="136">
        <v>18.8</v>
      </c>
      <c r="AB139" s="136">
        <v>6.6</v>
      </c>
      <c r="AC139" s="136">
        <v>6.33</v>
      </c>
      <c r="AD139" s="136"/>
      <c r="AE139" s="136">
        <v>6.4</v>
      </c>
      <c r="AF139" s="131">
        <f t="shared" si="135"/>
        <v>6.2424114880726266E-2</v>
      </c>
      <c r="AG139" s="107">
        <v>1</v>
      </c>
      <c r="AH139" s="107">
        <v>39</v>
      </c>
      <c r="AI139" s="57">
        <f t="shared" si="136"/>
        <v>3.1976273653538258E-2</v>
      </c>
      <c r="AJ139" s="57">
        <f t="shared" si="137"/>
        <v>7.8895221972682481E-3</v>
      </c>
      <c r="AK139" s="57">
        <f t="shared" si="138"/>
        <v>0.12959999999999999</v>
      </c>
      <c r="AL139" s="53">
        <f t="shared" si="139"/>
        <v>0.56846708717401351</v>
      </c>
      <c r="AM139" s="53">
        <f t="shared" si="140"/>
        <v>40.960000000000008</v>
      </c>
      <c r="AN139" s="80">
        <f t="shared" si="141"/>
        <v>0.148038303951566</v>
      </c>
      <c r="AO139" s="80">
        <f t="shared" si="142"/>
        <v>2.7777777777777772</v>
      </c>
      <c r="AP139" s="145">
        <f t="shared" si="143"/>
        <v>0.16417542213631006</v>
      </c>
      <c r="AQ139" s="145">
        <f t="shared" si="144"/>
        <v>3.4163753595836641</v>
      </c>
      <c r="AR139" s="100">
        <f t="shared" si="145"/>
        <v>0.56224947840804773</v>
      </c>
      <c r="AS139" s="100">
        <f t="shared" si="146"/>
        <v>40.068899999999999</v>
      </c>
      <c r="AT139" s="25">
        <f t="shared" si="147"/>
        <v>0.12886142205768017</v>
      </c>
      <c r="AU139" s="25">
        <f t="shared" si="148"/>
        <v>2.1047239211111113</v>
      </c>
      <c r="AV139" s="53">
        <f t="shared" si="155"/>
        <v>1.6698720685736648</v>
      </c>
      <c r="AW139" s="53">
        <f t="shared" si="156"/>
        <v>353.44000000000005</v>
      </c>
      <c r="AX139" s="100">
        <f t="shared" si="157"/>
        <v>4.7253826621339874</v>
      </c>
      <c r="AY139" s="100">
        <f t="shared" si="158"/>
        <v>2830.2400000000002</v>
      </c>
    </row>
    <row r="140" spans="1:96" s="25" customFormat="1" ht="14">
      <c r="A140" s="116" t="s">
        <v>136</v>
      </c>
      <c r="B140" s="117">
        <v>2</v>
      </c>
      <c r="C140" s="117">
        <v>3</v>
      </c>
      <c r="D140" s="118" t="s">
        <v>8</v>
      </c>
      <c r="E140" s="107">
        <f t="shared" si="129"/>
        <v>1.5</v>
      </c>
      <c r="F140" s="107">
        <v>35.9</v>
      </c>
      <c r="G140" s="107">
        <f t="shared" si="151"/>
        <v>1.759513333333333</v>
      </c>
      <c r="H140" s="107">
        <f t="shared" si="152"/>
        <v>1.2547566666666665</v>
      </c>
      <c r="I140" s="107">
        <v>0.75</v>
      </c>
      <c r="J140" s="107">
        <f t="shared" si="130"/>
        <v>0.36</v>
      </c>
      <c r="K140" s="107">
        <f t="shared" si="131"/>
        <v>0.48</v>
      </c>
      <c r="L140" s="107">
        <v>0.28000000000000003</v>
      </c>
      <c r="M140" s="107">
        <v>0.2</v>
      </c>
      <c r="N140" s="107">
        <f t="shared" si="132"/>
        <v>0.10835820895522388</v>
      </c>
      <c r="O140" s="107">
        <f t="shared" si="149"/>
        <v>15.873837494949949</v>
      </c>
      <c r="P140" s="107">
        <f t="shared" si="133"/>
        <v>0.16568142396800392</v>
      </c>
      <c r="Q140" s="107">
        <f t="shared" si="134"/>
        <v>0.83333333333333337</v>
      </c>
      <c r="R140" s="107">
        <v>48</v>
      </c>
      <c r="S140" s="107">
        <f>1-0.723</f>
        <v>0.27700000000000002</v>
      </c>
      <c r="T140" s="107">
        <f t="shared" si="153"/>
        <v>0.3785</v>
      </c>
      <c r="U140" s="107">
        <v>0.219</v>
      </c>
      <c r="V140" s="107">
        <v>0.38</v>
      </c>
      <c r="W140" s="107">
        <f t="shared" si="154"/>
        <v>0.31966666666666665</v>
      </c>
      <c r="X140" s="107">
        <f>64/141</f>
        <v>0.45390070921985815</v>
      </c>
      <c r="Y140" s="107">
        <f>X140</f>
        <v>0.45390070921985815</v>
      </c>
      <c r="Z140" s="107">
        <f t="shared" si="150"/>
        <v>2.6118431153441586</v>
      </c>
      <c r="AA140" s="107">
        <v>34.799999999999997</v>
      </c>
      <c r="AB140" s="107">
        <v>6.8</v>
      </c>
      <c r="AC140" s="107">
        <v>31</v>
      </c>
      <c r="AD140" s="107"/>
      <c r="AE140" s="107">
        <v>6.4</v>
      </c>
      <c r="AF140" s="131">
        <f t="shared" si="135"/>
        <v>0.16453759944153906</v>
      </c>
      <c r="AG140" s="107">
        <v>1</v>
      </c>
      <c r="AH140" s="107">
        <v>39</v>
      </c>
      <c r="AI140" s="57">
        <f t="shared" si="136"/>
        <v>4.589375443913709E-2</v>
      </c>
      <c r="AJ140" s="57">
        <f t="shared" si="137"/>
        <v>2.7450334248065464E-2</v>
      </c>
      <c r="AK140" s="57">
        <f t="shared" si="138"/>
        <v>7.6729000000000019E-2</v>
      </c>
      <c r="AL140" s="53">
        <f t="shared" si="139"/>
        <v>1.0603611133952251</v>
      </c>
      <c r="AM140" s="53">
        <f t="shared" si="140"/>
        <v>40.960000000000008</v>
      </c>
      <c r="AN140" s="80">
        <f t="shared" si="141"/>
        <v>0.2485221359520059</v>
      </c>
      <c r="AO140" s="80">
        <f t="shared" si="142"/>
        <v>2.25</v>
      </c>
      <c r="AP140" s="145">
        <f t="shared" si="143"/>
        <v>0.43273388653124772</v>
      </c>
      <c r="AQ140" s="145">
        <f t="shared" si="144"/>
        <v>6.8217244591706798</v>
      </c>
      <c r="AR140" s="100">
        <f t="shared" si="145"/>
        <v>5.1361241430081215</v>
      </c>
      <c r="AS140" s="100">
        <f t="shared" si="146"/>
        <v>961</v>
      </c>
      <c r="AT140" s="25">
        <f t="shared" si="147"/>
        <v>0.20788987126667935</v>
      </c>
      <c r="AU140" s="25">
        <f t="shared" si="148"/>
        <v>1.574414292544444</v>
      </c>
      <c r="AV140" s="53">
        <f t="shared" si="155"/>
        <v>5.7657135540865356</v>
      </c>
      <c r="AW140" s="53">
        <f t="shared" si="156"/>
        <v>1211.0399999999997</v>
      </c>
      <c r="AX140" s="100">
        <f t="shared" si="157"/>
        <v>7.9527083504641887</v>
      </c>
      <c r="AY140" s="100">
        <f t="shared" si="158"/>
        <v>2304</v>
      </c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  <c r="BY140" s="15"/>
      <c r="BZ140" s="15"/>
      <c r="CA140" s="15"/>
      <c r="CB140" s="15"/>
      <c r="CC140" s="15"/>
      <c r="CD140" s="15"/>
      <c r="CE140" s="15"/>
      <c r="CF140" s="15"/>
      <c r="CG140" s="15"/>
      <c r="CH140" s="15"/>
      <c r="CI140" s="15"/>
      <c r="CJ140" s="15"/>
      <c r="CK140" s="15"/>
      <c r="CL140" s="15"/>
      <c r="CM140" s="15"/>
      <c r="CN140" s="15"/>
      <c r="CO140" s="15"/>
      <c r="CP140" s="15"/>
      <c r="CQ140" s="15"/>
      <c r="CR140" s="15"/>
    </row>
    <row r="141" spans="1:96" s="74" customFormat="1" ht="14">
      <c r="A141" s="26" t="s">
        <v>137</v>
      </c>
      <c r="B141" s="24">
        <v>3</v>
      </c>
      <c r="C141" s="24">
        <v>3</v>
      </c>
      <c r="D141" s="27" t="s">
        <v>3</v>
      </c>
      <c r="E141" s="25">
        <f t="shared" si="129"/>
        <v>1.6666666666666665</v>
      </c>
      <c r="F141" s="25">
        <v>31</v>
      </c>
      <c r="G141" s="25">
        <f t="shared" si="151"/>
        <v>1.3828666666666667</v>
      </c>
      <c r="H141" s="25">
        <f t="shared" si="152"/>
        <v>1.0664333333333333</v>
      </c>
      <c r="I141" s="25">
        <v>0.75</v>
      </c>
      <c r="J141" s="25">
        <f t="shared" si="130"/>
        <v>0.38800000000000001</v>
      </c>
      <c r="K141" s="25">
        <f t="shared" si="131"/>
        <v>0.51733333333333331</v>
      </c>
      <c r="L141" s="25">
        <v>0.43</v>
      </c>
      <c r="M141" s="25">
        <v>0.4</v>
      </c>
      <c r="N141" s="25">
        <f t="shared" si="132"/>
        <v>0.21283582089552239</v>
      </c>
      <c r="O141" s="25">
        <f t="shared" si="149"/>
        <v>19.972123559795545</v>
      </c>
      <c r="P141" s="25">
        <f t="shared" si="133"/>
        <v>0.13168354342120459</v>
      </c>
      <c r="Q141" s="25">
        <f t="shared" si="134"/>
        <v>0.77777777777777779</v>
      </c>
      <c r="R141" s="25">
        <v>45.8</v>
      </c>
      <c r="S141" s="25">
        <f>1-0.638</f>
        <v>0.36199999999999999</v>
      </c>
      <c r="T141" s="25">
        <f t="shared" si="153"/>
        <v>0.41</v>
      </c>
      <c r="U141" s="25">
        <v>0.49399999999999999</v>
      </c>
      <c r="V141" s="25">
        <f>1-0.37</f>
        <v>0.63</v>
      </c>
      <c r="W141" s="25">
        <f t="shared" si="154"/>
        <v>0.504</v>
      </c>
      <c r="X141" s="25">
        <f>-1/12.7</f>
        <v>-7.874015748031496E-2</v>
      </c>
      <c r="Y141" s="25">
        <f>X141</f>
        <v>-7.874015748031496E-2</v>
      </c>
      <c r="Z141" s="25">
        <f t="shared" si="150"/>
        <v>1.9148638896043551</v>
      </c>
      <c r="AA141" s="25">
        <v>32.9</v>
      </c>
      <c r="AB141" s="25">
        <v>7.2</v>
      </c>
      <c r="AC141" s="25">
        <v>92</v>
      </c>
      <c r="AD141" s="25"/>
      <c r="AE141" s="25">
        <v>6.12</v>
      </c>
      <c r="AF141" s="131">
        <f t="shared" si="135"/>
        <v>9.5876829715745945E-2</v>
      </c>
      <c r="AG141" s="25">
        <v>1</v>
      </c>
      <c r="AH141" s="25">
        <v>49</v>
      </c>
      <c r="AI141" s="57">
        <f t="shared" si="136"/>
        <v>4.7669442718476056E-2</v>
      </c>
      <c r="AJ141" s="57">
        <f t="shared" si="137"/>
        <v>1.7340555607964273E-2</v>
      </c>
      <c r="AK141" s="57">
        <f t="shared" si="138"/>
        <v>0.13104399999999999</v>
      </c>
      <c r="AL141" s="53">
        <f t="shared" si="139"/>
        <v>0.80590328573777203</v>
      </c>
      <c r="AM141" s="53">
        <f t="shared" si="140"/>
        <v>37.4544</v>
      </c>
      <c r="AN141" s="80">
        <f t="shared" si="141"/>
        <v>0.21947257236867429</v>
      </c>
      <c r="AO141" s="80">
        <f t="shared" si="142"/>
        <v>2.7777777777777772</v>
      </c>
      <c r="AP141" s="145">
        <f t="shared" si="143"/>
        <v>0.25215606215241182</v>
      </c>
      <c r="AQ141" s="145">
        <f t="shared" si="144"/>
        <v>3.6667037157107196</v>
      </c>
      <c r="AR141" s="100">
        <f t="shared" si="145"/>
        <v>12.114885994750821</v>
      </c>
      <c r="AS141" s="100">
        <f t="shared" si="146"/>
        <v>8464</v>
      </c>
      <c r="AT141" s="25">
        <f t="shared" si="147"/>
        <v>0.14043172015581995</v>
      </c>
      <c r="AU141" s="25">
        <f t="shared" si="148"/>
        <v>1.1372800544444446</v>
      </c>
      <c r="AV141" s="53">
        <f t="shared" si="155"/>
        <v>4.332388578557631</v>
      </c>
      <c r="AW141" s="53">
        <f t="shared" si="156"/>
        <v>1082.4099999999999</v>
      </c>
      <c r="AX141" s="100">
        <f t="shared" si="157"/>
        <v>6.0311062886911699</v>
      </c>
      <c r="AY141" s="100">
        <f t="shared" si="158"/>
        <v>2097.64</v>
      </c>
    </row>
    <row r="142" spans="1:96" s="45" customFormat="1" ht="14">
      <c r="A142" s="46" t="s">
        <v>138</v>
      </c>
      <c r="B142" s="47">
        <v>1</v>
      </c>
      <c r="C142" s="47">
        <v>1</v>
      </c>
      <c r="D142" s="48" t="s">
        <v>8</v>
      </c>
      <c r="E142" s="49">
        <f t="shared" si="129"/>
        <v>1</v>
      </c>
      <c r="F142" s="49">
        <v>27.2</v>
      </c>
      <c r="G142" s="49">
        <f t="shared" si="151"/>
        <v>1.0907733333333334</v>
      </c>
      <c r="H142" s="49">
        <f t="shared" si="152"/>
        <v>0.92038666666666669</v>
      </c>
      <c r="I142" s="49">
        <v>0.75</v>
      </c>
      <c r="J142" s="49">
        <f t="shared" si="130"/>
        <v>0.29500000000000004</v>
      </c>
      <c r="K142" s="49">
        <f t="shared" si="131"/>
        <v>0.39333333333333337</v>
      </c>
      <c r="L142" s="49">
        <v>0.7</v>
      </c>
      <c r="M142" s="49">
        <v>0.4</v>
      </c>
      <c r="N142" s="49">
        <f t="shared" si="132"/>
        <v>0.22089552238805971</v>
      </c>
      <c r="O142" s="49">
        <f t="shared" si="149"/>
        <v>4.639541387201418</v>
      </c>
      <c r="P142" s="49">
        <f t="shared" si="133"/>
        <v>0.56686637331333778</v>
      </c>
      <c r="Q142" s="49">
        <f t="shared" si="134"/>
        <v>1</v>
      </c>
      <c r="R142" s="49">
        <v>34.200000000000003</v>
      </c>
      <c r="S142" s="49">
        <v>0.20499999999999999</v>
      </c>
      <c r="T142" s="49">
        <f t="shared" si="153"/>
        <v>0.27350000000000002</v>
      </c>
      <c r="U142" s="49">
        <v>0.56699999999999995</v>
      </c>
      <c r="V142" s="49">
        <v>0.62</v>
      </c>
      <c r="W142" s="49">
        <f t="shared" si="154"/>
        <v>0.49399999999999994</v>
      </c>
      <c r="X142" s="49">
        <f>3/126</f>
        <v>2.3809523809523808E-2</v>
      </c>
      <c r="Y142" s="49">
        <f>X142</f>
        <v>2.3809523809523808E-2</v>
      </c>
      <c r="Z142" s="49">
        <f t="shared" si="150"/>
        <v>2.2062837164129347</v>
      </c>
      <c r="AA142" s="49">
        <v>17</v>
      </c>
      <c r="AB142" s="49">
        <v>12</v>
      </c>
      <c r="AC142" s="49">
        <v>39</v>
      </c>
      <c r="AD142" s="49"/>
      <c r="AE142" s="49">
        <v>7.05</v>
      </c>
      <c r="AF142" s="131">
        <f t="shared" si="135"/>
        <v>0.47553918206208096</v>
      </c>
      <c r="AG142" s="49">
        <v>1</v>
      </c>
      <c r="AH142" s="49">
        <v>27</v>
      </c>
      <c r="AI142" s="57">
        <f t="shared" si="136"/>
        <v>0.11620760652923424</v>
      </c>
      <c r="AJ142" s="57">
        <f t="shared" si="137"/>
        <v>0.32133748519341643</v>
      </c>
      <c r="AK142" s="57">
        <f t="shared" si="138"/>
        <v>4.2024999999999993E-2</v>
      </c>
      <c r="AL142" s="53">
        <f t="shared" si="139"/>
        <v>3.9964079318590313</v>
      </c>
      <c r="AM142" s="53">
        <f t="shared" si="140"/>
        <v>49.702500000000001</v>
      </c>
      <c r="AN142" s="80">
        <f t="shared" si="141"/>
        <v>0.56686637331333778</v>
      </c>
      <c r="AO142" s="80">
        <f t="shared" si="142"/>
        <v>1</v>
      </c>
      <c r="AP142" s="145">
        <f t="shared" si="143"/>
        <v>1.2506680488232729</v>
      </c>
      <c r="AQ142" s="145">
        <f t="shared" si="144"/>
        <v>4.8676878373088712</v>
      </c>
      <c r="AR142" s="100">
        <f t="shared" si="145"/>
        <v>22.107788559220172</v>
      </c>
      <c r="AS142" s="100">
        <f t="shared" si="146"/>
        <v>1521</v>
      </c>
      <c r="AT142" s="25">
        <f t="shared" si="147"/>
        <v>0.52173625177928529</v>
      </c>
      <c r="AU142" s="25">
        <f t="shared" si="148"/>
        <v>0.84711161617777786</v>
      </c>
      <c r="AV142" s="53">
        <f t="shared" si="155"/>
        <v>9.636728346326743</v>
      </c>
      <c r="AW142" s="53">
        <f t="shared" si="156"/>
        <v>289</v>
      </c>
      <c r="AX142" s="100">
        <f t="shared" si="157"/>
        <v>19.386829967316153</v>
      </c>
      <c r="AY142" s="100">
        <f t="shared" si="158"/>
        <v>1169.6400000000001</v>
      </c>
    </row>
    <row r="143" spans="1:96" s="53" customFormat="1" ht="14">
      <c r="A143" s="36" t="s">
        <v>139</v>
      </c>
      <c r="B143" s="37">
        <v>1</v>
      </c>
      <c r="C143" s="37">
        <v>1</v>
      </c>
      <c r="D143" s="38" t="s">
        <v>8</v>
      </c>
      <c r="E143" s="39">
        <f t="shared" si="129"/>
        <v>1</v>
      </c>
      <c r="F143" s="39">
        <v>28.4</v>
      </c>
      <c r="G143" s="39">
        <f t="shared" si="151"/>
        <v>1.1830133333333333</v>
      </c>
      <c r="H143" s="39">
        <f t="shared" si="152"/>
        <v>1.0915066666666666</v>
      </c>
      <c r="I143" s="39">
        <v>1</v>
      </c>
      <c r="J143" s="39">
        <f t="shared" si="130"/>
        <v>0.19800000000000006</v>
      </c>
      <c r="K143" s="39">
        <f t="shared" si="131"/>
        <v>0.26400000000000007</v>
      </c>
      <c r="L143" s="39">
        <v>0.44</v>
      </c>
      <c r="M143" s="39">
        <v>0.4</v>
      </c>
      <c r="N143" s="39">
        <f t="shared" si="132"/>
        <v>0.21313432835820897</v>
      </c>
      <c r="O143" s="39">
        <f t="shared" si="149"/>
        <v>4.800120371642226</v>
      </c>
      <c r="P143" s="39">
        <f t="shared" si="133"/>
        <v>0.54790292667186169</v>
      </c>
      <c r="Q143" s="39">
        <f t="shared" si="134"/>
        <v>1</v>
      </c>
      <c r="R143" s="39">
        <v>38.5</v>
      </c>
      <c r="S143" s="39">
        <v>0.20499999999999999</v>
      </c>
      <c r="T143" s="39">
        <f t="shared" si="153"/>
        <v>0.29499999999999998</v>
      </c>
      <c r="U143" s="39">
        <v>1.0329999999999999</v>
      </c>
      <c r="V143" s="39">
        <v>1.22</v>
      </c>
      <c r="W143" s="39">
        <f t="shared" si="154"/>
        <v>0.81700000000000006</v>
      </c>
      <c r="X143" s="39">
        <f>-2/103</f>
        <v>-1.9417475728155338E-2</v>
      </c>
      <c r="Y143" s="39">
        <f>X143</f>
        <v>-1.9417475728155338E-2</v>
      </c>
      <c r="Z143" s="39">
        <f t="shared" si="150"/>
        <v>2.9819651344489926</v>
      </c>
      <c r="AA143" s="39">
        <v>18</v>
      </c>
      <c r="AB143" s="39">
        <v>12.4</v>
      </c>
      <c r="AC143" s="39">
        <v>10.58</v>
      </c>
      <c r="AD143" s="39"/>
      <c r="AE143" s="39">
        <v>8.02</v>
      </c>
      <c r="AF143" s="131">
        <f t="shared" si="135"/>
        <v>0.62122715756580016</v>
      </c>
      <c r="AG143" s="39">
        <v>1</v>
      </c>
      <c r="AH143" s="15">
        <v>25</v>
      </c>
      <c r="AI143" s="57">
        <f t="shared" si="136"/>
        <v>0.11232009996773164</v>
      </c>
      <c r="AJ143" s="57">
        <f t="shared" si="137"/>
        <v>0.30019761705559145</v>
      </c>
      <c r="AK143" s="57">
        <f t="shared" si="138"/>
        <v>4.2024999999999993E-2</v>
      </c>
      <c r="AL143" s="53">
        <f t="shared" si="139"/>
        <v>4.3941814719083307</v>
      </c>
      <c r="AM143" s="53">
        <f t="shared" si="140"/>
        <v>64.320399999999992</v>
      </c>
      <c r="AN143" s="80">
        <f t="shared" si="141"/>
        <v>0.54790292667186169</v>
      </c>
      <c r="AO143" s="80">
        <f t="shared" si="142"/>
        <v>1</v>
      </c>
      <c r="AP143" s="145">
        <f t="shared" si="143"/>
        <v>1.6338274243980546</v>
      </c>
      <c r="AQ143" s="145">
        <f t="shared" si="144"/>
        <v>8.8921160630693983</v>
      </c>
      <c r="AR143" s="100">
        <f t="shared" si="145"/>
        <v>5.7968129641882964</v>
      </c>
      <c r="AS143" s="100">
        <f t="shared" si="146"/>
        <v>111.93640000000001</v>
      </c>
      <c r="AT143" s="25">
        <f t="shared" si="147"/>
        <v>0.59803969714851479</v>
      </c>
      <c r="AU143" s="25">
        <f t="shared" si="148"/>
        <v>1.1913868033777777</v>
      </c>
      <c r="AV143" s="53">
        <f t="shared" si="155"/>
        <v>9.8622526800935102</v>
      </c>
      <c r="AW143" s="53">
        <f t="shared" si="156"/>
        <v>324</v>
      </c>
      <c r="AX143" s="100">
        <f t="shared" si="157"/>
        <v>21.094262676866673</v>
      </c>
      <c r="AY143" s="100">
        <f t="shared" si="158"/>
        <v>1482.25</v>
      </c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/>
      <c r="BT143" s="15"/>
      <c r="BU143" s="15"/>
      <c r="BV143" s="15"/>
      <c r="BW143" s="15"/>
      <c r="BX143" s="15"/>
      <c r="BY143" s="15"/>
      <c r="BZ143" s="15"/>
      <c r="CA143" s="15"/>
      <c r="CB143" s="15"/>
      <c r="CC143" s="15"/>
      <c r="CD143" s="15"/>
      <c r="CE143" s="15"/>
      <c r="CF143" s="15"/>
      <c r="CG143" s="15"/>
      <c r="CH143" s="15"/>
      <c r="CI143" s="15"/>
      <c r="CJ143" s="15"/>
      <c r="CK143" s="15"/>
      <c r="CL143" s="15"/>
      <c r="CM143" s="15"/>
      <c r="CN143" s="15"/>
      <c r="CO143" s="15"/>
      <c r="CP143" s="15"/>
      <c r="CQ143" s="15"/>
      <c r="CR143" s="15"/>
    </row>
    <row r="144" spans="1:96" s="13" customFormat="1" ht="14">
      <c r="A144" s="16" t="s">
        <v>140</v>
      </c>
      <c r="B144" s="14">
        <v>6</v>
      </c>
      <c r="C144" s="14">
        <v>5</v>
      </c>
      <c r="D144" s="22" t="s">
        <v>4</v>
      </c>
      <c r="E144" s="15">
        <f t="shared" si="129"/>
        <v>2.5</v>
      </c>
      <c r="F144" s="15">
        <v>35.9</v>
      </c>
      <c r="G144" s="25">
        <f t="shared" si="151"/>
        <v>1.759513333333333</v>
      </c>
      <c r="H144" s="15">
        <f t="shared" si="152"/>
        <v>1.2547566666666665</v>
      </c>
      <c r="I144" s="15">
        <v>0.75</v>
      </c>
      <c r="J144" s="25">
        <f t="shared" si="130"/>
        <v>0.69100000000000006</v>
      </c>
      <c r="K144" s="57">
        <f t="shared" si="131"/>
        <v>0.92133333333333345</v>
      </c>
      <c r="L144" s="15">
        <v>0.15</v>
      </c>
      <c r="M144" s="15">
        <v>0.2</v>
      </c>
      <c r="N144" s="70">
        <f t="shared" si="132"/>
        <v>0.10447761194029852</v>
      </c>
      <c r="O144" s="53">
        <f t="shared" si="149"/>
        <v>299.29180377936075</v>
      </c>
      <c r="P144" s="25">
        <f t="shared" si="133"/>
        <v>8.787410703498073E-3</v>
      </c>
      <c r="Q144" s="15">
        <f t="shared" si="134"/>
        <v>0.5</v>
      </c>
      <c r="R144" s="15">
        <v>41.1</v>
      </c>
      <c r="S144" s="15">
        <f>1-0.803</f>
        <v>0.19699999999999995</v>
      </c>
      <c r="T144" s="15">
        <f t="shared" si="153"/>
        <v>0.30399999999999999</v>
      </c>
      <c r="U144" s="15">
        <v>8.8999999999999996E-2</v>
      </c>
      <c r="V144" s="15">
        <v>1.58</v>
      </c>
      <c r="W144" s="15">
        <f t="shared" si="154"/>
        <v>0.78666666666666674</v>
      </c>
      <c r="X144" s="15" t="s">
        <v>225</v>
      </c>
      <c r="Y144" s="15">
        <v>0.1</v>
      </c>
      <c r="Z144" s="25">
        <f t="shared" si="150"/>
        <v>1.8136353893436106</v>
      </c>
      <c r="AA144" s="15" t="s">
        <v>223</v>
      </c>
      <c r="AB144" s="15">
        <v>0.4</v>
      </c>
      <c r="AC144" s="15">
        <v>1.8</v>
      </c>
      <c r="AD144" s="75"/>
      <c r="AE144" s="15">
        <v>3.09</v>
      </c>
      <c r="AF144" s="131">
        <f t="shared" si="135"/>
        <v>6.0597562861448443E-3</v>
      </c>
      <c r="AG144" s="15">
        <v>1</v>
      </c>
      <c r="AH144" s="15">
        <v>18</v>
      </c>
      <c r="AI144" s="57">
        <f t="shared" si="136"/>
        <v>1.7311199085891199E-3</v>
      </c>
      <c r="AJ144" s="57">
        <f t="shared" si="137"/>
        <v>7.7218586871952502E-5</v>
      </c>
      <c r="AK144" s="57">
        <f t="shared" si="138"/>
        <v>3.8808999999999982E-2</v>
      </c>
      <c r="AL144" s="53">
        <f t="shared" si="139"/>
        <v>2.7153099073809046E-2</v>
      </c>
      <c r="AM144" s="53">
        <f t="shared" si="140"/>
        <v>9.5480999999999998</v>
      </c>
      <c r="AN144" s="80">
        <f t="shared" si="141"/>
        <v>2.1968526758745183E-2</v>
      </c>
      <c r="AO144" s="80">
        <f t="shared" si="142"/>
        <v>6.25</v>
      </c>
      <c r="AP144" s="145">
        <f t="shared" si="143"/>
        <v>1.5937159032560939E-2</v>
      </c>
      <c r="AQ144" s="145">
        <f t="shared" si="144"/>
        <v>3.2892733254795501</v>
      </c>
      <c r="AR144" s="100">
        <f t="shared" si="145"/>
        <v>1.5817339266296533E-2</v>
      </c>
      <c r="AS144" s="100">
        <f t="shared" si="146"/>
        <v>3.24</v>
      </c>
      <c r="AT144" s="25">
        <f t="shared" si="147"/>
        <v>1.102606216295223E-2</v>
      </c>
      <c r="AU144" s="25">
        <f t="shared" si="148"/>
        <v>1.574414292544444</v>
      </c>
      <c r="AV144" s="53"/>
      <c r="AW144" s="53"/>
      <c r="AX144" s="100">
        <f t="shared" si="157"/>
        <v>0.36116257991377082</v>
      </c>
      <c r="AY144" s="100">
        <f t="shared" si="158"/>
        <v>1689.21</v>
      </c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  <c r="BU144" s="15"/>
      <c r="BV144" s="15"/>
      <c r="BW144" s="15"/>
      <c r="BX144" s="15"/>
      <c r="BY144" s="15"/>
      <c r="BZ144" s="15"/>
      <c r="CA144" s="15"/>
      <c r="CB144" s="15"/>
      <c r="CC144" s="15"/>
      <c r="CD144" s="15"/>
      <c r="CE144" s="15"/>
      <c r="CF144" s="15"/>
      <c r="CG144" s="15"/>
      <c r="CH144" s="15"/>
      <c r="CI144" s="15"/>
      <c r="CJ144" s="15"/>
      <c r="CK144" s="15"/>
      <c r="CL144" s="15"/>
      <c r="CM144" s="15"/>
      <c r="CN144" s="15"/>
      <c r="CO144" s="15"/>
      <c r="CP144" s="15"/>
      <c r="CQ144" s="15"/>
      <c r="CR144" s="15"/>
    </row>
    <row r="145" spans="1:96" s="25" customFormat="1" ht="14">
      <c r="A145" s="46" t="s">
        <v>141</v>
      </c>
      <c r="B145" s="47">
        <v>2</v>
      </c>
      <c r="C145" s="47">
        <v>2</v>
      </c>
      <c r="D145" s="48" t="s">
        <v>8</v>
      </c>
      <c r="E145" s="49">
        <f t="shared" si="129"/>
        <v>1.3333333333333333</v>
      </c>
      <c r="F145" s="49">
        <v>24.5</v>
      </c>
      <c r="G145" s="49">
        <f t="shared" si="151"/>
        <v>0.88323333333333331</v>
      </c>
      <c r="H145" s="49">
        <f t="shared" si="152"/>
        <v>0.81661666666666666</v>
      </c>
      <c r="I145" s="49">
        <v>0.75</v>
      </c>
      <c r="J145" s="49">
        <f t="shared" si="130"/>
        <v>0.34000000000000008</v>
      </c>
      <c r="K145" s="49">
        <f t="shared" si="131"/>
        <v>0.45333333333333342</v>
      </c>
      <c r="L145" s="49">
        <v>0.44</v>
      </c>
      <c r="M145" s="49">
        <v>0.4</v>
      </c>
      <c r="N145" s="49">
        <f t="shared" si="132"/>
        <v>0.21313432835820897</v>
      </c>
      <c r="O145" s="49">
        <f t="shared" si="149"/>
        <v>7.2242669680666669</v>
      </c>
      <c r="P145" s="49">
        <f t="shared" si="133"/>
        <v>0.36405077658748697</v>
      </c>
      <c r="Q145" s="49">
        <f t="shared" si="134"/>
        <v>0.88888888888888895</v>
      </c>
      <c r="R145" s="49">
        <v>33.299999999999997</v>
      </c>
      <c r="S145" s="49">
        <f>1-0.767</f>
        <v>0.23299999999999998</v>
      </c>
      <c r="T145" s="49">
        <f t="shared" si="153"/>
        <v>0.28299999999999997</v>
      </c>
      <c r="U145" s="49">
        <v>0.38600000000000001</v>
      </c>
      <c r="V145" s="49">
        <v>0.85</v>
      </c>
      <c r="W145" s="49">
        <f t="shared" si="154"/>
        <v>0.52533333333333332</v>
      </c>
      <c r="X145" s="49">
        <f>14/116</f>
        <v>0.1206896551724138</v>
      </c>
      <c r="Y145" s="49">
        <f>X145</f>
        <v>0.1206896551724138</v>
      </c>
      <c r="Z145" s="49">
        <f t="shared" si="150"/>
        <v>2.2837029170853715</v>
      </c>
      <c r="AA145" s="49">
        <v>21.1</v>
      </c>
      <c r="AB145" s="49">
        <v>7</v>
      </c>
      <c r="AC145" s="49">
        <v>18</v>
      </c>
      <c r="AD145" s="49"/>
      <c r="AE145" s="49">
        <v>6.6</v>
      </c>
      <c r="AF145" s="131">
        <f t="shared" si="135"/>
        <v>0.31611552108746727</v>
      </c>
      <c r="AG145" s="134">
        <v>1</v>
      </c>
      <c r="AH145" s="134">
        <v>27</v>
      </c>
      <c r="AI145" s="57">
        <f t="shared" si="136"/>
        <v>8.4823830944884451E-2</v>
      </c>
      <c r="AJ145" s="57">
        <f t="shared" si="137"/>
        <v>0.13253296793395236</v>
      </c>
      <c r="AK145" s="57">
        <f t="shared" si="138"/>
        <v>5.428899999999999E-2</v>
      </c>
      <c r="AL145" s="53">
        <f t="shared" si="139"/>
        <v>2.4027351254774141</v>
      </c>
      <c r="AM145" s="53">
        <f t="shared" si="140"/>
        <v>43.559999999999995</v>
      </c>
      <c r="AN145" s="80">
        <f t="shared" si="141"/>
        <v>0.48540103544998259</v>
      </c>
      <c r="AO145" s="80">
        <f t="shared" si="142"/>
        <v>1.7777777777777777</v>
      </c>
      <c r="AP145" s="145">
        <f t="shared" si="143"/>
        <v>0.83138382046003889</v>
      </c>
      <c r="AQ145" s="145">
        <f t="shared" si="144"/>
        <v>5.215299013504235</v>
      </c>
      <c r="AR145" s="100">
        <f t="shared" si="145"/>
        <v>6.5529139785747654</v>
      </c>
      <c r="AS145" s="100">
        <f t="shared" si="146"/>
        <v>324</v>
      </c>
      <c r="AT145" s="25">
        <f t="shared" si="147"/>
        <v>0.29728993167428497</v>
      </c>
      <c r="AU145" s="25">
        <f t="shared" si="148"/>
        <v>0.66686278027777779</v>
      </c>
      <c r="AV145" s="53">
        <f>AA145*P145</f>
        <v>7.6814713859959758</v>
      </c>
      <c r="AW145" s="53">
        <f>AA145^2</f>
        <v>445.21000000000004</v>
      </c>
      <c r="AX145" s="100">
        <f t="shared" si="157"/>
        <v>12.122890860363315</v>
      </c>
      <c r="AY145" s="100">
        <f t="shared" si="158"/>
        <v>1108.8899999999999</v>
      </c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5"/>
      <c r="BU145" s="15"/>
      <c r="BV145" s="15"/>
      <c r="BW145" s="15"/>
      <c r="BX145" s="15"/>
      <c r="BY145" s="15"/>
      <c r="BZ145" s="15"/>
      <c r="CA145" s="15"/>
      <c r="CB145" s="15"/>
      <c r="CC145" s="15"/>
      <c r="CD145" s="15"/>
      <c r="CE145" s="15"/>
      <c r="CF145" s="15"/>
      <c r="CG145" s="15"/>
      <c r="CH145" s="15"/>
      <c r="CI145" s="15"/>
      <c r="CJ145" s="15"/>
      <c r="CK145" s="15"/>
      <c r="CL145" s="15"/>
      <c r="CM145" s="15"/>
      <c r="CN145" s="15"/>
      <c r="CO145" s="15"/>
      <c r="CP145" s="15"/>
      <c r="CQ145" s="15"/>
      <c r="CR145" s="15"/>
    </row>
    <row r="146" spans="1:96" s="45" customFormat="1" ht="14">
      <c r="A146" s="102" t="s">
        <v>142</v>
      </c>
      <c r="B146" s="103">
        <v>6</v>
      </c>
      <c r="C146" s="103">
        <v>5</v>
      </c>
      <c r="D146" s="104" t="s">
        <v>4</v>
      </c>
      <c r="E146" s="105">
        <f t="shared" si="129"/>
        <v>2.5</v>
      </c>
      <c r="F146" s="105">
        <v>33.5</v>
      </c>
      <c r="G146" s="105">
        <f t="shared" si="151"/>
        <v>1.5750333333333333</v>
      </c>
      <c r="H146" s="105">
        <f t="shared" si="152"/>
        <v>1.2875166666666666</v>
      </c>
      <c r="I146" s="105">
        <v>1</v>
      </c>
      <c r="J146" s="105">
        <f t="shared" si="130"/>
        <v>0.57400000000000007</v>
      </c>
      <c r="K146" s="105">
        <f t="shared" si="131"/>
        <v>0.76533333333333342</v>
      </c>
      <c r="L146" s="105">
        <v>2.39</v>
      </c>
      <c r="M146" s="105">
        <v>0.8</v>
      </c>
      <c r="N146" s="105">
        <f t="shared" si="132"/>
        <v>0.47134328358208955</v>
      </c>
      <c r="O146" s="105">
        <f t="shared" si="149"/>
        <v>550.31079968266897</v>
      </c>
      <c r="P146" s="105">
        <f t="shared" si="133"/>
        <v>4.7791175486953229E-3</v>
      </c>
      <c r="Q146" s="105">
        <f t="shared" si="134"/>
        <v>0.5</v>
      </c>
      <c r="R146" s="105">
        <v>43</v>
      </c>
      <c r="S146" s="105">
        <f>1-0.719</f>
        <v>0.28100000000000003</v>
      </c>
      <c r="T146" s="105">
        <f t="shared" si="153"/>
        <v>0.35550000000000004</v>
      </c>
      <c r="U146" s="105">
        <v>8.6999999999999994E-2</v>
      </c>
      <c r="V146" s="105">
        <v>0.56999999999999995</v>
      </c>
      <c r="W146" s="105">
        <f t="shared" si="154"/>
        <v>0.41033333333333327</v>
      </c>
      <c r="X146" s="105">
        <f>30/118</f>
        <v>0.25423728813559321</v>
      </c>
      <c r="Y146" s="105">
        <f>X146</f>
        <v>0.25423728813559321</v>
      </c>
      <c r="Z146" s="105">
        <f t="shared" si="150"/>
        <v>1.6653499986392697</v>
      </c>
      <c r="AA146" s="105">
        <v>13.1</v>
      </c>
      <c r="AB146" s="105">
        <v>6.8</v>
      </c>
      <c r="AC146" s="105">
        <v>143</v>
      </c>
      <c r="AD146" s="105"/>
      <c r="AE146" s="105">
        <v>4.26</v>
      </c>
      <c r="AF146" s="131">
        <f t="shared" si="135"/>
        <v>3.0261990126299113E-3</v>
      </c>
      <c r="AG146" s="105">
        <v>1</v>
      </c>
      <c r="AH146" s="105">
        <v>15</v>
      </c>
      <c r="AI146" s="135">
        <f t="shared" si="136"/>
        <v>1.342932031183386E-3</v>
      </c>
      <c r="AJ146" s="57">
        <f t="shared" si="137"/>
        <v>2.2839964544247593E-5</v>
      </c>
      <c r="AK146" s="57">
        <f t="shared" si="138"/>
        <v>7.8961000000000017E-2</v>
      </c>
      <c r="AL146" s="53">
        <f t="shared" si="139"/>
        <v>2.0359040757442076E-2</v>
      </c>
      <c r="AM146" s="53">
        <f t="shared" si="140"/>
        <v>18.147599999999997</v>
      </c>
      <c r="AN146" s="80">
        <f t="shared" si="141"/>
        <v>1.1947793871738308E-2</v>
      </c>
      <c r="AO146" s="80">
        <f t="shared" si="142"/>
        <v>6.25</v>
      </c>
      <c r="AP146" s="145">
        <f t="shared" si="143"/>
        <v>7.9589034032166665E-3</v>
      </c>
      <c r="AQ146" s="145">
        <f t="shared" si="144"/>
        <v>2.7733906179678156</v>
      </c>
      <c r="AR146" s="100">
        <f t="shared" si="145"/>
        <v>0.68341380946343122</v>
      </c>
      <c r="AS146" s="100">
        <f t="shared" si="146"/>
        <v>20449</v>
      </c>
      <c r="AT146" s="25">
        <f t="shared" si="147"/>
        <v>6.1531934959043735E-3</v>
      </c>
      <c r="AU146" s="25">
        <f t="shared" si="148"/>
        <v>1.6576991669444443</v>
      </c>
      <c r="AV146" s="53">
        <f>AA146*P146</f>
        <v>6.2606439887908732E-2</v>
      </c>
      <c r="AW146" s="53">
        <f>AA146^2</f>
        <v>171.60999999999999</v>
      </c>
      <c r="AX146" s="100">
        <f t="shared" si="157"/>
        <v>0.20550205459389889</v>
      </c>
      <c r="AY146" s="100">
        <f t="shared" si="158"/>
        <v>1849</v>
      </c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5"/>
      <c r="BS146" s="15"/>
      <c r="BT146" s="15"/>
      <c r="BU146" s="15"/>
      <c r="BV146" s="15"/>
      <c r="BW146" s="15"/>
      <c r="BX146" s="15"/>
      <c r="BY146" s="15"/>
      <c r="BZ146" s="15"/>
      <c r="CA146" s="15"/>
      <c r="CB146" s="15"/>
      <c r="CC146" s="15"/>
      <c r="CD146" s="15"/>
      <c r="CE146" s="15"/>
      <c r="CF146" s="15"/>
      <c r="CG146" s="15"/>
      <c r="CH146" s="15"/>
      <c r="CI146" s="15"/>
      <c r="CJ146" s="15"/>
      <c r="CK146" s="15"/>
      <c r="CL146" s="15"/>
      <c r="CM146" s="15"/>
      <c r="CN146" s="15"/>
      <c r="CO146" s="15"/>
      <c r="CP146" s="15"/>
      <c r="CQ146" s="15"/>
      <c r="CR146" s="15"/>
    </row>
    <row r="147" spans="1:96" s="13" customFormat="1" ht="14">
      <c r="A147" s="16" t="s">
        <v>143</v>
      </c>
      <c r="B147" s="14">
        <v>6</v>
      </c>
      <c r="C147" s="14">
        <v>5</v>
      </c>
      <c r="D147" s="22" t="s">
        <v>4</v>
      </c>
      <c r="E147" s="15">
        <f t="shared" si="129"/>
        <v>2.5</v>
      </c>
      <c r="F147" s="15">
        <v>38.200000000000003</v>
      </c>
      <c r="G147" s="25">
        <f t="shared" si="151"/>
        <v>1.9363066666666668</v>
      </c>
      <c r="H147" s="15">
        <f t="shared" si="152"/>
        <v>1.3431533333333334</v>
      </c>
      <c r="I147" s="15">
        <v>0.75</v>
      </c>
      <c r="J147" s="25">
        <f t="shared" si="130"/>
        <v>0.67500000000000004</v>
      </c>
      <c r="K147" s="57">
        <f t="shared" si="131"/>
        <v>0.9</v>
      </c>
      <c r="L147" s="15">
        <v>0.06</v>
      </c>
      <c r="M147" s="15">
        <v>0.2</v>
      </c>
      <c r="N147" s="70">
        <f t="shared" si="132"/>
        <v>0.1017910447761194</v>
      </c>
      <c r="O147" s="53">
        <f t="shared" si="149"/>
        <v>351.5531627789627</v>
      </c>
      <c r="P147" s="25">
        <f t="shared" si="133"/>
        <v>7.481087580638833E-3</v>
      </c>
      <c r="Q147" s="15">
        <f t="shared" si="134"/>
        <v>0.5</v>
      </c>
      <c r="R147" s="15">
        <v>46.8</v>
      </c>
      <c r="S147" s="15">
        <v>0.61499999999999999</v>
      </c>
      <c r="T147" s="15">
        <f t="shared" si="153"/>
        <v>0.54149999999999998</v>
      </c>
      <c r="U147" s="15"/>
      <c r="V147" s="15">
        <v>0.3</v>
      </c>
      <c r="W147" s="25">
        <f>(V147+K147)/2</f>
        <v>0.6</v>
      </c>
      <c r="X147" s="15" t="s">
        <v>225</v>
      </c>
      <c r="Y147" s="15">
        <v>0.1</v>
      </c>
      <c r="Z147" s="25">
        <f t="shared" si="150"/>
        <v>1.8603227608319688</v>
      </c>
      <c r="AA147" s="15">
        <v>60</v>
      </c>
      <c r="AB147" s="15"/>
      <c r="AC147" s="15">
        <v>10.718</v>
      </c>
      <c r="AD147" s="75"/>
      <c r="AE147" s="15">
        <v>3.25</v>
      </c>
      <c r="AF147" s="131">
        <f t="shared" si="135"/>
        <v>5.2917252859466879E-3</v>
      </c>
      <c r="AG147" s="15">
        <v>1</v>
      </c>
      <c r="AH147" s="15">
        <v>58</v>
      </c>
      <c r="AI147" s="57">
        <f t="shared" si="136"/>
        <v>4.6008688620928825E-3</v>
      </c>
      <c r="AJ147" s="57">
        <f t="shared" si="137"/>
        <v>5.5966671389188588E-5</v>
      </c>
      <c r="AK147" s="57">
        <f t="shared" si="138"/>
        <v>0.37822499999999998</v>
      </c>
      <c r="AL147" s="53">
        <f t="shared" si="139"/>
        <v>2.4313534637076209E-2</v>
      </c>
      <c r="AM147" s="53">
        <f t="shared" si="140"/>
        <v>10.5625</v>
      </c>
      <c r="AN147" s="80">
        <f t="shared" si="141"/>
        <v>1.8702718951597083E-2</v>
      </c>
      <c r="AO147" s="80">
        <f t="shared" si="142"/>
        <v>6.25</v>
      </c>
      <c r="AP147" s="145">
        <f t="shared" si="143"/>
        <v>1.3917237502039787E-2</v>
      </c>
      <c r="AQ147" s="145">
        <f t="shared" si="144"/>
        <v>3.4608007744694786</v>
      </c>
      <c r="AR147" s="100">
        <f t="shared" si="145"/>
        <v>8.0182296689287016E-2</v>
      </c>
      <c r="AS147" s="100">
        <f t="shared" si="146"/>
        <v>114.875524</v>
      </c>
      <c r="AT147" s="25">
        <f t="shared" si="147"/>
        <v>1.0048247720893652E-2</v>
      </c>
      <c r="AU147" s="25">
        <f t="shared" si="148"/>
        <v>1.8040608768444446</v>
      </c>
      <c r="AV147" s="53">
        <f>AA147*P147</f>
        <v>0.44886525483832995</v>
      </c>
      <c r="AW147" s="53">
        <f>AA147^2</f>
        <v>3600</v>
      </c>
      <c r="AX147" s="100">
        <f t="shared" si="157"/>
        <v>0.35011489877389734</v>
      </c>
      <c r="AY147" s="100">
        <f t="shared" si="158"/>
        <v>2190.2399999999998</v>
      </c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/>
      <c r="BT147" s="15"/>
      <c r="BU147" s="15"/>
      <c r="BV147" s="15"/>
      <c r="BW147" s="15"/>
      <c r="BX147" s="15"/>
      <c r="BY147" s="15"/>
      <c r="BZ147" s="15"/>
      <c r="CA147" s="15"/>
      <c r="CB147" s="15"/>
      <c r="CC147" s="15"/>
      <c r="CD147" s="15"/>
      <c r="CE147" s="15"/>
      <c r="CF147" s="15"/>
      <c r="CG147" s="15"/>
      <c r="CH147" s="15"/>
      <c r="CI147" s="15"/>
      <c r="CJ147" s="15"/>
      <c r="CK147" s="15"/>
      <c r="CL147" s="15"/>
      <c r="CM147" s="15"/>
      <c r="CN147" s="15"/>
      <c r="CO147" s="15"/>
      <c r="CP147" s="15"/>
      <c r="CQ147" s="15"/>
      <c r="CR147" s="15"/>
    </row>
    <row r="148" spans="1:96" s="13" customFormat="1" ht="14">
      <c r="A148" s="16" t="s">
        <v>144</v>
      </c>
      <c r="B148" s="14">
        <v>2</v>
      </c>
      <c r="C148" s="14">
        <v>2</v>
      </c>
      <c r="D148" s="22" t="s">
        <v>8</v>
      </c>
      <c r="E148" s="15">
        <f t="shared" si="129"/>
        <v>1.3333333333333333</v>
      </c>
      <c r="F148" s="15"/>
      <c r="G148" s="25">
        <f t="shared" si="151"/>
        <v>-1</v>
      </c>
      <c r="H148" s="15">
        <v>0.75</v>
      </c>
      <c r="I148" s="15">
        <v>0.75</v>
      </c>
      <c r="J148" s="25">
        <f t="shared" si="130"/>
        <v>0.39</v>
      </c>
      <c r="K148" s="57">
        <f t="shared" si="131"/>
        <v>0.52</v>
      </c>
      <c r="L148" s="15">
        <v>0.03</v>
      </c>
      <c r="M148" s="15">
        <v>0.2</v>
      </c>
      <c r="N148" s="70">
        <f t="shared" si="132"/>
        <v>0.10089552238805971</v>
      </c>
      <c r="O148" s="53">
        <f t="shared" si="149"/>
        <v>6.2205647379823672</v>
      </c>
      <c r="P148" s="25">
        <f t="shared" si="133"/>
        <v>0.42279119513721791</v>
      </c>
      <c r="Q148" s="15">
        <f t="shared" si="134"/>
        <v>0.88888888888888895</v>
      </c>
      <c r="R148" s="15"/>
      <c r="S148" s="109">
        <v>0.23</v>
      </c>
      <c r="T148" s="70">
        <f>S148</f>
        <v>0.23</v>
      </c>
      <c r="U148" s="15"/>
      <c r="V148" s="15">
        <v>0.8</v>
      </c>
      <c r="W148" s="25">
        <f>(V148+K148)/2</f>
        <v>0.66</v>
      </c>
      <c r="X148" s="15" t="s">
        <v>225</v>
      </c>
      <c r="Y148" s="15">
        <v>0.1</v>
      </c>
      <c r="Z148" s="25">
        <f t="shared" si="150"/>
        <v>2.4108997064172097</v>
      </c>
      <c r="AA148" s="15" t="s">
        <v>223</v>
      </c>
      <c r="AB148" s="15"/>
      <c r="AC148" s="15">
        <v>0.186</v>
      </c>
      <c r="AD148" s="75"/>
      <c r="AE148" s="108">
        <v>6.1</v>
      </c>
      <c r="AF148" s="131">
        <f t="shared" si="135"/>
        <v>0.38756926548749049</v>
      </c>
      <c r="AG148" s="79"/>
      <c r="AH148" s="79">
        <v>45</v>
      </c>
      <c r="AI148" s="57">
        <f t="shared" si="136"/>
        <v>9.7241974881560125E-2</v>
      </c>
      <c r="AJ148" s="57">
        <f t="shared" si="137"/>
        <v>0.17875239468555706</v>
      </c>
      <c r="AK148" s="57">
        <f t="shared" si="138"/>
        <v>5.2900000000000003E-2</v>
      </c>
      <c r="AL148" s="53">
        <f t="shared" si="139"/>
        <v>2.5790262903370289</v>
      </c>
      <c r="AM148" s="53">
        <f t="shared" si="140"/>
        <v>37.209999999999994</v>
      </c>
      <c r="AN148" s="80">
        <f t="shared" si="141"/>
        <v>0.56372159351629048</v>
      </c>
      <c r="AO148" s="80">
        <f t="shared" si="142"/>
        <v>1.7777777777777777</v>
      </c>
      <c r="AP148" s="145">
        <f t="shared" si="143"/>
        <v>1.0193071682321</v>
      </c>
      <c r="AQ148" s="145">
        <f t="shared" si="144"/>
        <v>5.812437394402588</v>
      </c>
      <c r="AR148" s="100">
        <f t="shared" si="145"/>
        <v>7.8639162295522536E-2</v>
      </c>
      <c r="AS148" s="100">
        <f t="shared" si="146"/>
        <v>3.4596000000000002E-2</v>
      </c>
      <c r="AT148" s="25">
        <f t="shared" si="147"/>
        <v>0.31709339635291345</v>
      </c>
      <c r="AU148" s="25">
        <f t="shared" si="148"/>
        <v>0.5625</v>
      </c>
      <c r="AV148" s="53"/>
      <c r="AW148" s="53"/>
      <c r="AX148" s="100"/>
      <c r="AY148" s="100"/>
      <c r="AZ148" s="15"/>
      <c r="BA148" s="15"/>
      <c r="BB148" s="15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  <c r="BP148" s="15"/>
      <c r="BQ148" s="15"/>
      <c r="BR148" s="15"/>
      <c r="BS148" s="15"/>
      <c r="BT148" s="15"/>
      <c r="BU148" s="15"/>
      <c r="BV148" s="15"/>
      <c r="BW148" s="15"/>
      <c r="BX148" s="15"/>
      <c r="BY148" s="15"/>
      <c r="BZ148" s="15"/>
      <c r="CA148" s="15"/>
      <c r="CB148" s="15"/>
      <c r="CC148" s="15"/>
      <c r="CD148" s="15"/>
      <c r="CE148" s="15"/>
      <c r="CF148" s="15"/>
      <c r="CG148" s="15"/>
      <c r="CH148" s="15"/>
      <c r="CI148" s="15"/>
      <c r="CJ148" s="15"/>
      <c r="CK148" s="15"/>
      <c r="CL148" s="15"/>
      <c r="CM148" s="15"/>
      <c r="CN148" s="15"/>
      <c r="CO148" s="15"/>
      <c r="CP148" s="15"/>
      <c r="CQ148" s="15"/>
      <c r="CR148" s="15"/>
    </row>
    <row r="149" spans="1:96" s="61" customFormat="1" ht="14">
      <c r="A149" s="16" t="s">
        <v>145</v>
      </c>
      <c r="B149" s="14">
        <v>1</v>
      </c>
      <c r="C149" s="14">
        <v>1</v>
      </c>
      <c r="D149" s="22" t="s">
        <v>8</v>
      </c>
      <c r="E149" s="15">
        <f t="shared" si="129"/>
        <v>1</v>
      </c>
      <c r="F149" s="15"/>
      <c r="G149" s="25">
        <f t="shared" si="151"/>
        <v>-1</v>
      </c>
      <c r="H149" s="15">
        <v>0.67</v>
      </c>
      <c r="I149" s="15">
        <v>0.67</v>
      </c>
      <c r="J149" s="25">
        <f t="shared" si="130"/>
        <v>0.19000000000000006</v>
      </c>
      <c r="K149" s="57">
        <f t="shared" si="131"/>
        <v>0.25333333333333341</v>
      </c>
      <c r="L149" s="15">
        <v>0.04</v>
      </c>
      <c r="M149" s="15">
        <v>0.2</v>
      </c>
      <c r="N149" s="70">
        <f t="shared" si="132"/>
        <v>0.10119402985074627</v>
      </c>
      <c r="O149" s="53">
        <f t="shared" si="149"/>
        <v>2.7857784878911049</v>
      </c>
      <c r="P149" s="25">
        <f t="shared" si="133"/>
        <v>0.94408080593334154</v>
      </c>
      <c r="Q149" s="15">
        <f t="shared" si="134"/>
        <v>1</v>
      </c>
      <c r="R149" s="15"/>
      <c r="S149" s="109">
        <v>0.15</v>
      </c>
      <c r="T149" s="70">
        <f>S149</f>
        <v>0.15</v>
      </c>
      <c r="U149" s="15"/>
      <c r="V149" s="15">
        <v>0.92</v>
      </c>
      <c r="W149" s="25">
        <f>(V149+K149)/2</f>
        <v>0.58666666666666667</v>
      </c>
      <c r="X149" s="15" t="s">
        <v>223</v>
      </c>
      <c r="Y149" s="15">
        <v>0.1</v>
      </c>
      <c r="Z149" s="25">
        <f t="shared" si="150"/>
        <v>2.3086586079439271</v>
      </c>
      <c r="AA149" s="15" t="s">
        <v>223</v>
      </c>
      <c r="AB149" s="15">
        <v>5.5</v>
      </c>
      <c r="AC149" s="15">
        <v>3.3000000000000002E-2</v>
      </c>
      <c r="AD149" s="75"/>
      <c r="AE149" s="108">
        <v>8.1</v>
      </c>
      <c r="AF149" s="131">
        <f t="shared" si="135"/>
        <v>0.82873014418731905</v>
      </c>
      <c r="AG149" s="15"/>
      <c r="AH149" s="39">
        <v>23</v>
      </c>
      <c r="AI149" s="57">
        <f t="shared" si="136"/>
        <v>0.14161212089000122</v>
      </c>
      <c r="AJ149" s="57">
        <f t="shared" si="137"/>
        <v>0.89128856813174773</v>
      </c>
      <c r="AK149" s="57">
        <f t="shared" si="138"/>
        <v>2.2499999999999999E-2</v>
      </c>
      <c r="AL149" s="53">
        <f t="shared" si="139"/>
        <v>7.6470545280600657</v>
      </c>
      <c r="AM149" s="53">
        <f t="shared" si="140"/>
        <v>65.61</v>
      </c>
      <c r="AN149" s="80">
        <f t="shared" si="141"/>
        <v>0.94408080593334154</v>
      </c>
      <c r="AO149" s="80">
        <f t="shared" si="142"/>
        <v>1</v>
      </c>
      <c r="AP149" s="145">
        <f t="shared" si="143"/>
        <v>2.1795602792126489</v>
      </c>
      <c r="AQ149" s="145">
        <f t="shared" si="144"/>
        <v>5.3299045680335908</v>
      </c>
      <c r="AR149" s="100">
        <f t="shared" si="145"/>
        <v>3.1154666595800271E-2</v>
      </c>
      <c r="AS149" s="100">
        <f t="shared" si="146"/>
        <v>1.0890000000000001E-3</v>
      </c>
      <c r="AT149" s="25">
        <f t="shared" si="147"/>
        <v>0.63253413997533892</v>
      </c>
      <c r="AU149" s="25">
        <f t="shared" si="148"/>
        <v>0.44890000000000008</v>
      </c>
      <c r="AV149" s="53"/>
      <c r="AW149" s="53"/>
      <c r="AX149" s="100"/>
      <c r="AY149" s="100"/>
    </row>
    <row r="150" spans="1:96" s="13" customFormat="1" ht="14">
      <c r="A150" s="16" t="s">
        <v>189</v>
      </c>
      <c r="B150" s="14">
        <v>2</v>
      </c>
      <c r="C150" s="14">
        <v>2</v>
      </c>
      <c r="D150" s="22" t="s">
        <v>8</v>
      </c>
      <c r="E150" s="15">
        <f t="shared" si="129"/>
        <v>1.3333333333333333</v>
      </c>
      <c r="F150" s="15"/>
      <c r="G150" s="25">
        <f t="shared" si="151"/>
        <v>-1</v>
      </c>
      <c r="H150" s="15">
        <v>0.67</v>
      </c>
      <c r="I150" s="15">
        <v>0.75</v>
      </c>
      <c r="J150" s="25">
        <f t="shared" si="130"/>
        <v>0.39</v>
      </c>
      <c r="K150" s="57">
        <f t="shared" si="131"/>
        <v>0.52</v>
      </c>
      <c r="L150" s="15">
        <v>0.03</v>
      </c>
      <c r="M150" s="15">
        <v>0.2</v>
      </c>
      <c r="N150" s="70">
        <f t="shared" si="132"/>
        <v>0.10089552238805971</v>
      </c>
      <c r="O150" s="53">
        <f t="shared" si="149"/>
        <v>5.5912005405011271</v>
      </c>
      <c r="P150" s="25">
        <f t="shared" si="133"/>
        <v>0.47038198343074972</v>
      </c>
      <c r="Q150" s="15">
        <f t="shared" si="134"/>
        <v>0.88888888888888895</v>
      </c>
      <c r="R150" s="15"/>
      <c r="S150" s="15">
        <v>0.51200000000000001</v>
      </c>
      <c r="T150" s="70">
        <f>S150</f>
        <v>0.51200000000000001</v>
      </c>
      <c r="U150" s="15"/>
      <c r="V150" s="15">
        <v>0.5</v>
      </c>
      <c r="W150" s="25">
        <f>(V150+K150)/2</f>
        <v>0.51</v>
      </c>
      <c r="X150" s="15" t="s">
        <v>225</v>
      </c>
      <c r="Y150" s="15">
        <v>0.1</v>
      </c>
      <c r="Z150" s="25">
        <f t="shared" si="150"/>
        <v>2.7110427333331559</v>
      </c>
      <c r="AA150" s="15">
        <v>54</v>
      </c>
      <c r="AB150" s="15"/>
      <c r="AC150" s="15"/>
      <c r="AD150" s="75"/>
      <c r="AE150" s="108">
        <v>6.1</v>
      </c>
      <c r="AF150" s="131">
        <f t="shared" si="135"/>
        <v>0.48487667607253648</v>
      </c>
      <c r="AG150" s="15">
        <v>1</v>
      </c>
      <c r="AH150" s="15">
        <v>53</v>
      </c>
      <c r="AI150" s="57">
        <f t="shared" si="136"/>
        <v>0.24083557551654386</v>
      </c>
      <c r="AJ150" s="57">
        <f t="shared" si="137"/>
        <v>0.2212592103362461</v>
      </c>
      <c r="AK150" s="57">
        <f t="shared" si="138"/>
        <v>0.26214399999999999</v>
      </c>
      <c r="AL150" s="53">
        <f t="shared" si="139"/>
        <v>2.869330098927573</v>
      </c>
      <c r="AM150" s="53">
        <f t="shared" si="140"/>
        <v>37.209999999999994</v>
      </c>
      <c r="AN150" s="80">
        <f t="shared" si="141"/>
        <v>0.62717597790766622</v>
      </c>
      <c r="AO150" s="80">
        <f t="shared" si="142"/>
        <v>1.7777777777777777</v>
      </c>
      <c r="AP150" s="145">
        <f t="shared" si="143"/>
        <v>1.275225658070771</v>
      </c>
      <c r="AQ150" s="145">
        <f t="shared" si="144"/>
        <v>7.3497527019585096</v>
      </c>
      <c r="AR150" s="100">
        <f t="shared" si="145"/>
        <v>0</v>
      </c>
      <c r="AS150" s="100">
        <f t="shared" si="146"/>
        <v>0</v>
      </c>
      <c r="AT150" s="25">
        <f t="shared" si="147"/>
        <v>0.31515592889860233</v>
      </c>
      <c r="AU150" s="25">
        <f t="shared" si="148"/>
        <v>0.44890000000000008</v>
      </c>
      <c r="AV150" s="53">
        <f>AA150*P150</f>
        <v>25.400627105260483</v>
      </c>
      <c r="AW150" s="53">
        <f>AA150^2</f>
        <v>2916</v>
      </c>
      <c r="AX150" s="100"/>
      <c r="AY150" s="100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  <c r="BX150" s="15"/>
      <c r="BY150" s="15"/>
      <c r="BZ150" s="15"/>
      <c r="CA150" s="15"/>
      <c r="CB150" s="15"/>
      <c r="CC150" s="15"/>
      <c r="CD150" s="15"/>
      <c r="CE150" s="15"/>
      <c r="CF150" s="15"/>
      <c r="CG150" s="15"/>
      <c r="CH150" s="15"/>
      <c r="CI150" s="15"/>
      <c r="CJ150" s="15"/>
      <c r="CK150" s="15"/>
      <c r="CL150" s="15"/>
      <c r="CM150" s="15"/>
      <c r="CN150" s="15"/>
      <c r="CO150" s="15"/>
      <c r="CP150" s="15"/>
      <c r="CQ150" s="15"/>
      <c r="CR150" s="15"/>
    </row>
    <row r="151" spans="1:96" s="99" customFormat="1" ht="14">
      <c r="A151" s="96" t="s">
        <v>146</v>
      </c>
      <c r="B151" s="97">
        <v>7</v>
      </c>
      <c r="C151" s="97">
        <v>6</v>
      </c>
      <c r="D151" s="98" t="s">
        <v>4</v>
      </c>
      <c r="E151" s="99">
        <f t="shared" si="129"/>
        <v>2.833333333333333</v>
      </c>
      <c r="G151" s="99">
        <f t="shared" si="151"/>
        <v>-1</v>
      </c>
      <c r="H151" s="99">
        <v>1</v>
      </c>
      <c r="I151" s="99">
        <v>1</v>
      </c>
      <c r="J151" s="99">
        <f t="shared" si="130"/>
        <v>0.81600000000000006</v>
      </c>
      <c r="K151" s="99">
        <f t="shared" si="131"/>
        <v>1.0880000000000001</v>
      </c>
      <c r="L151" s="99">
        <v>2.8</v>
      </c>
      <c r="M151" s="99">
        <v>0.6</v>
      </c>
      <c r="N151" s="99">
        <f t="shared" si="132"/>
        <v>0.38358208955223877</v>
      </c>
      <c r="O151" s="99">
        <f t="shared" si="149"/>
        <v>1099.7255420180268</v>
      </c>
      <c r="P151" s="99">
        <f t="shared" si="133"/>
        <v>2.3915057889570129E-3</v>
      </c>
      <c r="Q151" s="99">
        <f t="shared" si="134"/>
        <v>0.38888888888888895</v>
      </c>
      <c r="S151" s="99">
        <f>1-0.752</f>
        <v>0.248</v>
      </c>
      <c r="T151" s="99">
        <f>S151</f>
        <v>0.248</v>
      </c>
      <c r="U151" s="99">
        <v>9.4E-2</v>
      </c>
      <c r="V151" s="99">
        <v>0.35</v>
      </c>
      <c r="W151" s="99">
        <f>(V151+U151+J151)/3</f>
        <v>0.42</v>
      </c>
      <c r="X151" s="99">
        <f>45/114</f>
        <v>0.39473684210526316</v>
      </c>
      <c r="Y151" s="99">
        <f>X151</f>
        <v>0.39473684210526316</v>
      </c>
      <c r="Z151" s="99">
        <f t="shared" si="150"/>
        <v>1.5117781634640139</v>
      </c>
      <c r="AA151" s="99" t="s">
        <v>223</v>
      </c>
      <c r="AB151" s="99">
        <v>10.9</v>
      </c>
      <c r="AC151" s="99">
        <v>27</v>
      </c>
      <c r="AE151" s="99">
        <v>1.84</v>
      </c>
      <c r="AF151" s="99">
        <f t="shared" si="135"/>
        <v>1.374686779293913E-3</v>
      </c>
      <c r="AG151" s="99">
        <v>1</v>
      </c>
      <c r="AH151" s="99">
        <v>18</v>
      </c>
      <c r="AI151" s="99">
        <f t="shared" si="136"/>
        <v>5.9309343566133919E-4</v>
      </c>
      <c r="AJ151" s="99">
        <f t="shared" si="137"/>
        <v>5.7192999386149053E-6</v>
      </c>
      <c r="AK151" s="99">
        <f t="shared" si="138"/>
        <v>6.1503999999999996E-2</v>
      </c>
      <c r="AL151" s="99">
        <f t="shared" si="139"/>
        <v>4.4003706516809044E-3</v>
      </c>
      <c r="AM151" s="99">
        <f t="shared" si="140"/>
        <v>3.3856000000000002</v>
      </c>
      <c r="AN151" s="99">
        <f t="shared" si="141"/>
        <v>6.7759330687115361E-3</v>
      </c>
      <c r="AO151" s="99">
        <f t="shared" si="142"/>
        <v>8.0277777777777768</v>
      </c>
      <c r="AP151" s="187">
        <f t="shared" si="143"/>
        <v>3.6154262295429907E-3</v>
      </c>
      <c r="AQ151" s="187">
        <f t="shared" si="144"/>
        <v>2.2854732155266269</v>
      </c>
      <c r="AR151" s="99">
        <f t="shared" si="145"/>
        <v>6.4570656301839349E-2</v>
      </c>
      <c r="AS151" s="99">
        <f t="shared" si="146"/>
        <v>729</v>
      </c>
      <c r="AT151" s="99">
        <f t="shared" si="147"/>
        <v>2.3915057889570129E-3</v>
      </c>
      <c r="AU151" s="99">
        <f t="shared" si="148"/>
        <v>1</v>
      </c>
    </row>
    <row r="152" spans="1:96" s="13" customFormat="1" ht="14">
      <c r="A152" s="16" t="s">
        <v>147</v>
      </c>
      <c r="B152" s="14">
        <v>3</v>
      </c>
      <c r="C152" s="14">
        <v>3</v>
      </c>
      <c r="D152" s="22" t="s">
        <v>3</v>
      </c>
      <c r="E152" s="15">
        <f t="shared" si="129"/>
        <v>1.6666666666666665</v>
      </c>
      <c r="F152" s="15">
        <v>30.1</v>
      </c>
      <c r="G152" s="25">
        <f t="shared" si="151"/>
        <v>1.3136866666666669</v>
      </c>
      <c r="H152" s="15">
        <f>(G152+I152)/2</f>
        <v>1.0318433333333334</v>
      </c>
      <c r="I152" s="15">
        <v>0.75</v>
      </c>
      <c r="J152" s="25">
        <f t="shared" si="130"/>
        <v>0.47300000000000009</v>
      </c>
      <c r="K152" s="57">
        <f t="shared" si="131"/>
        <v>0.63066666666666682</v>
      </c>
      <c r="L152" s="15">
        <v>0.09</v>
      </c>
      <c r="M152" s="15">
        <v>0.2</v>
      </c>
      <c r="N152" s="70">
        <f t="shared" si="132"/>
        <v>0.10268656716417911</v>
      </c>
      <c r="O152" s="53">
        <f t="shared" si="149"/>
        <v>18.953607420458216</v>
      </c>
      <c r="P152" s="25">
        <f t="shared" si="133"/>
        <v>0.13875986463459303</v>
      </c>
      <c r="Q152" s="15">
        <f t="shared" si="134"/>
        <v>0.77777777777777779</v>
      </c>
      <c r="R152" s="15">
        <v>41.3</v>
      </c>
      <c r="S152" s="15">
        <v>0.58899999999999997</v>
      </c>
      <c r="T152" s="15">
        <f>(R152/100+S152)/2</f>
        <v>0.501</v>
      </c>
      <c r="U152" s="15">
        <v>0.33200000000000002</v>
      </c>
      <c r="V152" s="15">
        <v>0.6</v>
      </c>
      <c r="W152" s="15">
        <f>(V152+U152+J152)/3</f>
        <v>0.46833333333333332</v>
      </c>
      <c r="X152" s="15">
        <f>13/118</f>
        <v>0.11016949152542373</v>
      </c>
      <c r="Y152" s="15">
        <f>X152</f>
        <v>0.11016949152542373</v>
      </c>
      <c r="Z152" s="25">
        <f t="shared" si="150"/>
        <v>2.3154714298812329</v>
      </c>
      <c r="AA152" s="15">
        <v>54</v>
      </c>
      <c r="AB152" s="15">
        <v>48</v>
      </c>
      <c r="AC152" s="15">
        <v>12.855</v>
      </c>
      <c r="AD152" s="75"/>
      <c r="AE152" s="15">
        <v>5.27</v>
      </c>
      <c r="AF152" s="131">
        <f t="shared" si="135"/>
        <v>0.12216520995269485</v>
      </c>
      <c r="AG152" s="15">
        <v>1</v>
      </c>
      <c r="AH152" s="15">
        <v>58</v>
      </c>
      <c r="AI152" s="57">
        <f t="shared" si="136"/>
        <v>8.1729560269775292E-2</v>
      </c>
      <c r="AJ152" s="57">
        <f t="shared" si="137"/>
        <v>1.9254300033410582E-2</v>
      </c>
      <c r="AK152" s="57">
        <f t="shared" si="138"/>
        <v>0.34692099999999998</v>
      </c>
      <c r="AL152" s="53">
        <f t="shared" si="139"/>
        <v>0.73126448662430521</v>
      </c>
      <c r="AM152" s="53">
        <f t="shared" si="140"/>
        <v>27.772899999999996</v>
      </c>
      <c r="AN152" s="80">
        <f t="shared" si="141"/>
        <v>0.23126644105765504</v>
      </c>
      <c r="AO152" s="80">
        <f t="shared" si="142"/>
        <v>2.7777777777777772</v>
      </c>
      <c r="AP152" s="145">
        <f t="shared" si="143"/>
        <v>0.32129450217558742</v>
      </c>
      <c r="AQ152" s="145">
        <f t="shared" si="144"/>
        <v>5.3614079425962409</v>
      </c>
      <c r="AR152" s="100">
        <f t="shared" si="145"/>
        <v>1.7837580598776934</v>
      </c>
      <c r="AS152" s="100">
        <f t="shared" si="146"/>
        <v>165.251025</v>
      </c>
      <c r="AT152" s="25">
        <f t="shared" si="147"/>
        <v>0.14317844125744061</v>
      </c>
      <c r="AU152" s="25">
        <f t="shared" si="148"/>
        <v>1.0647006645444448</v>
      </c>
      <c r="AV152" s="53">
        <f>AA152*P152</f>
        <v>7.4930326902680235</v>
      </c>
      <c r="AW152" s="53">
        <f>AA152^2</f>
        <v>2916</v>
      </c>
      <c r="AX152" s="100">
        <f t="shared" ref="AX152:AX158" si="159">P152*R152</f>
        <v>5.7307824094086914</v>
      </c>
      <c r="AY152" s="100">
        <f t="shared" ref="AY152:AY158" si="160">R152*R152</f>
        <v>1705.6899999999998</v>
      </c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/>
      <c r="BT152" s="15"/>
      <c r="BU152" s="15"/>
      <c r="BV152" s="15"/>
      <c r="BW152" s="15"/>
      <c r="BX152" s="15"/>
      <c r="BY152" s="15"/>
      <c r="BZ152" s="15"/>
      <c r="CA152" s="15"/>
      <c r="CB152" s="15"/>
      <c r="CC152" s="15"/>
      <c r="CD152" s="15"/>
      <c r="CE152" s="15"/>
      <c r="CF152" s="15"/>
      <c r="CG152" s="15"/>
      <c r="CH152" s="15"/>
      <c r="CI152" s="15"/>
      <c r="CJ152" s="15"/>
      <c r="CK152" s="15"/>
      <c r="CL152" s="15"/>
      <c r="CM152" s="15"/>
      <c r="CN152" s="15"/>
      <c r="CO152" s="15"/>
      <c r="CP152" s="15"/>
      <c r="CQ152" s="15"/>
      <c r="CR152" s="15"/>
    </row>
    <row r="153" spans="1:96" s="49" customFormat="1" ht="14">
      <c r="A153" s="16" t="s">
        <v>195</v>
      </c>
      <c r="B153" s="14">
        <v>2</v>
      </c>
      <c r="C153" s="14">
        <v>2</v>
      </c>
      <c r="D153" s="22" t="s">
        <v>8</v>
      </c>
      <c r="E153" s="15">
        <f t="shared" si="129"/>
        <v>1.3333333333333333</v>
      </c>
      <c r="F153" s="15"/>
      <c r="G153" s="15">
        <f t="shared" si="151"/>
        <v>-1</v>
      </c>
      <c r="H153" s="15">
        <v>0.75</v>
      </c>
      <c r="I153" s="15">
        <v>0.75</v>
      </c>
      <c r="J153" s="15">
        <f t="shared" si="130"/>
        <v>0.36699999999999999</v>
      </c>
      <c r="K153" s="15">
        <f t="shared" si="131"/>
        <v>0.48933333333333334</v>
      </c>
      <c r="L153" s="15">
        <v>0.22</v>
      </c>
      <c r="M153" s="15">
        <v>0.2</v>
      </c>
      <c r="N153" s="15">
        <f t="shared" si="132"/>
        <v>0.10656716417910449</v>
      </c>
      <c r="O153" s="15">
        <f t="shared" si="149"/>
        <v>6.0166702801121135</v>
      </c>
      <c r="P153" s="15">
        <f t="shared" si="133"/>
        <v>0.43711885105178028</v>
      </c>
      <c r="Q153" s="15">
        <f t="shared" si="134"/>
        <v>0.88888888888888895</v>
      </c>
      <c r="R153" s="15">
        <v>28.2</v>
      </c>
      <c r="S153" s="15">
        <f>1-0.735</f>
        <v>0.26500000000000001</v>
      </c>
      <c r="T153" s="15">
        <f>(R153/100+S153)/2</f>
        <v>0.27349999999999997</v>
      </c>
      <c r="U153" s="15">
        <v>0.41</v>
      </c>
      <c r="V153" s="15">
        <v>0.8</v>
      </c>
      <c r="W153" s="15">
        <f>(V153+U153+J153)/3</f>
        <v>0.52566666666666662</v>
      </c>
      <c r="X153" s="15">
        <f>1/117</f>
        <v>8.5470085470085479E-3</v>
      </c>
      <c r="Y153" s="15">
        <f>X153</f>
        <v>8.5470085470085479E-3</v>
      </c>
      <c r="Z153" s="15">
        <f t="shared" si="150"/>
        <v>2.0502622489818365</v>
      </c>
      <c r="AA153" s="15">
        <v>8.8000000000000007</v>
      </c>
      <c r="AB153" s="15">
        <v>23.7</v>
      </c>
      <c r="AC153" s="15">
        <v>7</v>
      </c>
      <c r="AD153" s="15"/>
      <c r="AE153" s="15">
        <v>6.33</v>
      </c>
      <c r="AF153" s="131">
        <f t="shared" si="135"/>
        <v>0.34076360404174122</v>
      </c>
      <c r="AG153" s="15">
        <v>1</v>
      </c>
      <c r="AH153" s="15">
        <v>27</v>
      </c>
      <c r="AI153" s="57">
        <f t="shared" si="136"/>
        <v>0.11583649552872177</v>
      </c>
      <c r="AJ153" s="57">
        <f t="shared" si="137"/>
        <v>0.19107288994482846</v>
      </c>
      <c r="AK153" s="57">
        <f t="shared" si="138"/>
        <v>7.022500000000001E-2</v>
      </c>
      <c r="AL153" s="53">
        <f t="shared" si="139"/>
        <v>2.7669623271577692</v>
      </c>
      <c r="AM153" s="53">
        <f t="shared" si="140"/>
        <v>40.068899999999999</v>
      </c>
      <c r="AN153" s="80">
        <f t="shared" si="141"/>
        <v>0.58282513473570696</v>
      </c>
      <c r="AO153" s="80">
        <f t="shared" si="142"/>
        <v>1.7777777777777777</v>
      </c>
      <c r="AP153" s="145">
        <f t="shared" si="143"/>
        <v>0.89620827862977948</v>
      </c>
      <c r="AQ153" s="145">
        <f t="shared" si="144"/>
        <v>4.2035752896000584</v>
      </c>
      <c r="AR153" s="100">
        <f t="shared" si="145"/>
        <v>3.0598319573624622</v>
      </c>
      <c r="AS153" s="100">
        <f t="shared" si="146"/>
        <v>49</v>
      </c>
      <c r="AT153" s="25">
        <f t="shared" si="147"/>
        <v>0.32783913828883521</v>
      </c>
      <c r="AU153" s="25">
        <f t="shared" si="148"/>
        <v>0.5625</v>
      </c>
      <c r="AV153" s="53">
        <f>AA153*P153</f>
        <v>3.8466458892556665</v>
      </c>
      <c r="AW153" s="53">
        <f>AA153^2</f>
        <v>77.440000000000012</v>
      </c>
      <c r="AX153" s="100">
        <f t="shared" si="159"/>
        <v>12.326751599660204</v>
      </c>
      <c r="AY153" s="100">
        <f t="shared" si="160"/>
        <v>795.24</v>
      </c>
    </row>
    <row r="154" spans="1:96" s="13" customFormat="1" ht="14">
      <c r="A154" s="16" t="s">
        <v>148</v>
      </c>
      <c r="B154" s="14">
        <v>3</v>
      </c>
      <c r="C154" s="14">
        <v>3</v>
      </c>
      <c r="D154" s="22" t="s">
        <v>3</v>
      </c>
      <c r="E154" s="15">
        <f t="shared" si="129"/>
        <v>1.6666666666666665</v>
      </c>
      <c r="F154" s="15">
        <v>15.4</v>
      </c>
      <c r="G154" s="25">
        <f t="shared" si="151"/>
        <v>0.18374666666666672</v>
      </c>
      <c r="H154" s="15">
        <f>(G154+I154)/2</f>
        <v>0.42687333333333338</v>
      </c>
      <c r="I154" s="15">
        <v>0.67</v>
      </c>
      <c r="J154" s="25">
        <f t="shared" si="130"/>
        <v>0.51</v>
      </c>
      <c r="K154" s="57">
        <f t="shared" si="131"/>
        <v>0.68</v>
      </c>
      <c r="L154" s="15">
        <v>0.03</v>
      </c>
      <c r="M154" s="15">
        <v>0.2</v>
      </c>
      <c r="N154" s="70">
        <f t="shared" si="132"/>
        <v>0.10089552238805971</v>
      </c>
      <c r="O154" s="53">
        <f t="shared" si="149"/>
        <v>7.4853523646492306</v>
      </c>
      <c r="P154" s="25">
        <f t="shared" si="133"/>
        <v>0.35135286515309472</v>
      </c>
      <c r="Q154" s="15">
        <f t="shared" si="134"/>
        <v>0.77777777777777779</v>
      </c>
      <c r="R154" s="15">
        <v>65.8</v>
      </c>
      <c r="S154" s="109">
        <v>0.43</v>
      </c>
      <c r="T154" s="15">
        <f>(R154/100+S154)/2</f>
        <v>0.54399999999999993</v>
      </c>
      <c r="U154" s="15">
        <v>0.46200000000000002</v>
      </c>
      <c r="V154" s="15">
        <v>0.5</v>
      </c>
      <c r="W154" s="15">
        <f>(V154+U154+J154)/3</f>
        <v>0.49066666666666664</v>
      </c>
      <c r="X154" s="15">
        <f>-34/125</f>
        <v>-0.27200000000000002</v>
      </c>
      <c r="Y154" s="15">
        <f>X154</f>
        <v>-0.27200000000000002</v>
      </c>
      <c r="Z154" s="25">
        <f t="shared" si="150"/>
        <v>1.80974361339279</v>
      </c>
      <c r="AA154" s="15" t="s">
        <v>223</v>
      </c>
      <c r="AB154" s="15">
        <v>2</v>
      </c>
      <c r="AC154" s="15">
        <v>0.09</v>
      </c>
      <c r="AD154" s="75"/>
      <c r="AE154" s="108">
        <v>4.9000000000000004</v>
      </c>
      <c r="AF154" s="131">
        <f t="shared" si="135"/>
        <v>0.24177133222740357</v>
      </c>
      <c r="AG154" s="57">
        <v>1</v>
      </c>
      <c r="AH154" s="57">
        <v>54</v>
      </c>
      <c r="AI154" s="57">
        <f t="shared" si="136"/>
        <v>0.15108173201583072</v>
      </c>
      <c r="AJ154" s="57">
        <f t="shared" si="137"/>
        <v>0.12344883585128875</v>
      </c>
      <c r="AK154" s="57">
        <f t="shared" si="138"/>
        <v>0.18489999999999998</v>
      </c>
      <c r="AL154" s="53">
        <f t="shared" si="139"/>
        <v>1.7216290392501643</v>
      </c>
      <c r="AM154" s="53">
        <f t="shared" si="140"/>
        <v>24.010000000000005</v>
      </c>
      <c r="AN154" s="80">
        <f t="shared" si="141"/>
        <v>0.5855881085884912</v>
      </c>
      <c r="AO154" s="80">
        <f t="shared" si="142"/>
        <v>2.7777777777777772</v>
      </c>
      <c r="AP154" s="145">
        <f t="shared" si="143"/>
        <v>0.63585860375807135</v>
      </c>
      <c r="AQ154" s="145">
        <f t="shared" si="144"/>
        <v>3.2751719462159921</v>
      </c>
      <c r="AR154" s="100">
        <f t="shared" si="145"/>
        <v>3.1621757863778521E-2</v>
      </c>
      <c r="AS154" s="100">
        <f t="shared" si="146"/>
        <v>8.0999999999999996E-3</v>
      </c>
      <c r="AT154" s="25">
        <f t="shared" si="147"/>
        <v>0.14998316872411874</v>
      </c>
      <c r="AU154" s="25">
        <f t="shared" si="148"/>
        <v>0.18222084271111116</v>
      </c>
      <c r="AV154" s="53"/>
      <c r="AW154" s="53"/>
      <c r="AX154" s="100">
        <f t="shared" si="159"/>
        <v>23.119018527073631</v>
      </c>
      <c r="AY154" s="100">
        <f t="shared" si="160"/>
        <v>4329.6399999999994</v>
      </c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  <c r="BS154" s="15"/>
      <c r="BT154" s="15"/>
      <c r="BU154" s="15"/>
      <c r="BV154" s="15"/>
      <c r="BW154" s="15"/>
      <c r="BX154" s="15"/>
      <c r="BY154" s="15"/>
      <c r="BZ154" s="15"/>
      <c r="CA154" s="15"/>
      <c r="CB154" s="15"/>
      <c r="CC154" s="15"/>
      <c r="CD154" s="15"/>
      <c r="CE154" s="15"/>
      <c r="CF154" s="15"/>
      <c r="CG154" s="15"/>
      <c r="CH154" s="15"/>
      <c r="CI154" s="15"/>
      <c r="CJ154" s="15"/>
      <c r="CK154" s="15"/>
      <c r="CL154" s="15"/>
      <c r="CM154" s="15"/>
      <c r="CN154" s="15"/>
      <c r="CO154" s="15"/>
      <c r="CP154" s="15"/>
      <c r="CQ154" s="15"/>
      <c r="CR154" s="15"/>
    </row>
    <row r="155" spans="1:96" s="13" customFormat="1" ht="14">
      <c r="A155" s="16" t="s">
        <v>149</v>
      </c>
      <c r="B155" s="14">
        <v>3</v>
      </c>
      <c r="C155" s="14">
        <v>3</v>
      </c>
      <c r="D155" s="22" t="s">
        <v>3</v>
      </c>
      <c r="E155" s="15">
        <f t="shared" si="129"/>
        <v>1.6666666666666665</v>
      </c>
      <c r="F155" s="15">
        <v>33.6</v>
      </c>
      <c r="G155" s="25">
        <f t="shared" si="151"/>
        <v>1.5827200000000001</v>
      </c>
      <c r="H155" s="15">
        <f>(G155+I155)/2</f>
        <v>1.12636</v>
      </c>
      <c r="I155" s="15">
        <v>0.67</v>
      </c>
      <c r="J155" s="25">
        <f t="shared" si="130"/>
        <v>0.54900000000000004</v>
      </c>
      <c r="K155" s="57">
        <f t="shared" si="131"/>
        <v>0.7320000000000001</v>
      </c>
      <c r="L155" s="15">
        <v>7.0000000000000007E-2</v>
      </c>
      <c r="M155" s="15">
        <v>0.2</v>
      </c>
      <c r="N155" s="70">
        <f t="shared" si="132"/>
        <v>0.10208955223880598</v>
      </c>
      <c r="O155" s="53">
        <f t="shared" si="149"/>
        <v>26.243436518904499</v>
      </c>
      <c r="P155" s="25">
        <f t="shared" si="133"/>
        <v>0.10021553381949332</v>
      </c>
      <c r="Q155" s="15">
        <f t="shared" si="134"/>
        <v>0.77777777777777779</v>
      </c>
      <c r="R155" s="15">
        <v>62.9</v>
      </c>
      <c r="S155" s="109">
        <v>0.53</v>
      </c>
      <c r="T155" s="15">
        <v>0.68300000000000005</v>
      </c>
      <c r="U155" s="15"/>
      <c r="V155" s="15">
        <v>0.49</v>
      </c>
      <c r="W155" s="25">
        <f>(V155+K155)/2</f>
        <v>0.61099999999999999</v>
      </c>
      <c r="X155" s="15" t="s">
        <v>225</v>
      </c>
      <c r="Y155" s="15">
        <v>0.1</v>
      </c>
      <c r="Z155" s="25">
        <f t="shared" si="150"/>
        <v>2.9571389271209823</v>
      </c>
      <c r="AA155" s="15">
        <v>70.2</v>
      </c>
      <c r="AB155" s="15"/>
      <c r="AC155" s="15">
        <v>5.99</v>
      </c>
      <c r="AD155" s="75"/>
      <c r="AE155" s="15">
        <v>4.51</v>
      </c>
      <c r="AF155" s="131">
        <f t="shared" si="135"/>
        <v>0.11268108599233194</v>
      </c>
      <c r="AG155" s="45">
        <v>1</v>
      </c>
      <c r="AH155" s="45">
        <v>55</v>
      </c>
      <c r="AI155" s="57">
        <f t="shared" si="136"/>
        <v>5.3114232924331463E-2</v>
      </c>
      <c r="AJ155" s="57">
        <f t="shared" si="137"/>
        <v>1.0043153218726009E-2</v>
      </c>
      <c r="AK155" s="57">
        <f t="shared" si="138"/>
        <v>0.28090000000000004</v>
      </c>
      <c r="AL155" s="53">
        <f t="shared" si="139"/>
        <v>0.45197205752591485</v>
      </c>
      <c r="AM155" s="53">
        <f t="shared" si="140"/>
        <v>20.3401</v>
      </c>
      <c r="AN155" s="80">
        <f t="shared" si="141"/>
        <v>0.16702588969915552</v>
      </c>
      <c r="AO155" s="80">
        <f t="shared" si="142"/>
        <v>2.7777777777777772</v>
      </c>
      <c r="AP155" s="145">
        <f t="shared" si="143"/>
        <v>0.29635125615983299</v>
      </c>
      <c r="AQ155" s="145">
        <f t="shared" si="144"/>
        <v>8.7446706342942342</v>
      </c>
      <c r="AR155" s="100">
        <f t="shared" si="145"/>
        <v>0.60029104757876495</v>
      </c>
      <c r="AS155" s="100">
        <f t="shared" si="146"/>
        <v>35.880100000000006</v>
      </c>
      <c r="AT155" s="25">
        <f t="shared" si="147"/>
        <v>0.1128787686729245</v>
      </c>
      <c r="AU155" s="25">
        <f t="shared" si="148"/>
        <v>1.2686868496000001</v>
      </c>
      <c r="AV155" s="53">
        <f>AA155*P155</f>
        <v>7.0351304741284313</v>
      </c>
      <c r="AW155" s="53">
        <f>AA155^2</f>
        <v>4928.04</v>
      </c>
      <c r="AX155" s="100">
        <f t="shared" si="159"/>
        <v>6.3035570772461291</v>
      </c>
      <c r="AY155" s="100">
        <f t="shared" si="160"/>
        <v>3956.41</v>
      </c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/>
      <c r="BV155" s="15"/>
      <c r="BW155" s="15"/>
      <c r="BX155" s="15"/>
      <c r="BY155" s="15"/>
      <c r="BZ155" s="15"/>
      <c r="CA155" s="15"/>
      <c r="CB155" s="15"/>
      <c r="CC155" s="15"/>
      <c r="CD155" s="15"/>
      <c r="CE155" s="15"/>
      <c r="CF155" s="15"/>
      <c r="CG155" s="15"/>
      <c r="CH155" s="15"/>
      <c r="CI155" s="15"/>
      <c r="CJ155" s="15"/>
      <c r="CK155" s="15"/>
      <c r="CL155" s="15"/>
      <c r="CM155" s="15"/>
      <c r="CN155" s="15"/>
      <c r="CO155" s="15"/>
      <c r="CP155" s="15"/>
      <c r="CQ155" s="15"/>
      <c r="CR155" s="15"/>
    </row>
    <row r="156" spans="1:96" s="70" customFormat="1" ht="14">
      <c r="A156" s="26" t="s">
        <v>150</v>
      </c>
      <c r="B156" s="24">
        <v>5</v>
      </c>
      <c r="C156" s="24">
        <v>4</v>
      </c>
      <c r="D156" s="27" t="s">
        <v>3</v>
      </c>
      <c r="E156" s="25">
        <f t="shared" si="129"/>
        <v>2.166666666666667</v>
      </c>
      <c r="F156" s="25">
        <v>23.2</v>
      </c>
      <c r="G156" s="25">
        <f t="shared" si="151"/>
        <v>0.78330666666666682</v>
      </c>
      <c r="H156" s="25">
        <f>(G156+I156)/2</f>
        <v>0.76665333333333341</v>
      </c>
      <c r="I156" s="25">
        <f>3/4</f>
        <v>0.75</v>
      </c>
      <c r="J156" s="25">
        <f t="shared" si="130"/>
        <v>0.41100000000000003</v>
      </c>
      <c r="K156" s="25">
        <f t="shared" si="131"/>
        <v>0.54800000000000004</v>
      </c>
      <c r="L156" s="25">
        <v>0.59</v>
      </c>
      <c r="M156" s="25">
        <v>0.4</v>
      </c>
      <c r="N156" s="25">
        <f t="shared" si="132"/>
        <v>0.21761194029850747</v>
      </c>
      <c r="O156" s="25">
        <f t="shared" si="149"/>
        <v>27.657808491872981</v>
      </c>
      <c r="P156" s="25">
        <f t="shared" si="133"/>
        <v>9.509068662373607E-2</v>
      </c>
      <c r="Q156" s="25">
        <f t="shared" si="134"/>
        <v>0.61111111111111094</v>
      </c>
      <c r="R156" s="25">
        <v>47.3</v>
      </c>
      <c r="S156" s="25">
        <f>1-0.846</f>
        <v>0.15400000000000003</v>
      </c>
      <c r="T156" s="25">
        <f>(R156/100+S156)/2</f>
        <v>0.3135</v>
      </c>
      <c r="U156" s="25">
        <v>1.1819999999999999</v>
      </c>
      <c r="V156" s="25">
        <f>1-0.49</f>
        <v>0.51</v>
      </c>
      <c r="W156" s="25">
        <f>(V156+U156+J156)/3</f>
        <v>0.70099999999999996</v>
      </c>
      <c r="X156" s="25">
        <f>-2/136</f>
        <v>-1.4705882352941176E-2</v>
      </c>
      <c r="Y156" s="25">
        <f>X156</f>
        <v>-1.4705882352941176E-2</v>
      </c>
      <c r="Z156" s="25">
        <f t="shared" si="150"/>
        <v>1.8422456586558063</v>
      </c>
      <c r="AA156" s="25" t="s">
        <v>223</v>
      </c>
      <c r="AB156" s="25">
        <v>2</v>
      </c>
      <c r="AC156" s="25">
        <v>5.1829999999999998</v>
      </c>
      <c r="AD156" s="25"/>
      <c r="AE156" s="25">
        <v>5.89</v>
      </c>
      <c r="AF156" s="131">
        <f t="shared" si="135"/>
        <v>6.6608518863565599E-2</v>
      </c>
      <c r="AG156" s="25">
        <v>1</v>
      </c>
      <c r="AH156" s="25">
        <v>16</v>
      </c>
      <c r="AI156" s="57">
        <f t="shared" si="136"/>
        <v>1.4643965740055357E-2</v>
      </c>
      <c r="AJ156" s="57">
        <f t="shared" si="137"/>
        <v>9.0422386825735786E-3</v>
      </c>
      <c r="AK156" s="57">
        <f t="shared" si="138"/>
        <v>2.3716000000000008E-2</v>
      </c>
      <c r="AL156" s="53">
        <f t="shared" si="139"/>
        <v>0.56008414421380548</v>
      </c>
      <c r="AM156" s="53">
        <f t="shared" si="140"/>
        <v>34.692099999999996</v>
      </c>
      <c r="AN156" s="80">
        <f t="shared" si="141"/>
        <v>0.20602982101809486</v>
      </c>
      <c r="AO156" s="80">
        <f t="shared" si="142"/>
        <v>4.6944444444444455</v>
      </c>
      <c r="AP156" s="145">
        <f t="shared" si="143"/>
        <v>0.17518040461117751</v>
      </c>
      <c r="AQ156" s="145">
        <f t="shared" si="144"/>
        <v>3.3938690668361655</v>
      </c>
      <c r="AR156" s="100">
        <f t="shared" si="145"/>
        <v>0.49285502877082404</v>
      </c>
      <c r="AS156" s="100">
        <f t="shared" si="146"/>
        <v>26.863488999999998</v>
      </c>
      <c r="AT156" s="25">
        <f t="shared" si="147"/>
        <v>7.2901591869042673E-2</v>
      </c>
      <c r="AU156" s="25">
        <f t="shared" si="148"/>
        <v>0.58775733351111126</v>
      </c>
      <c r="AV156" s="53"/>
      <c r="AW156" s="53"/>
      <c r="AX156" s="100">
        <f t="shared" si="159"/>
        <v>4.4977894773027156</v>
      </c>
      <c r="AY156" s="100">
        <f t="shared" si="160"/>
        <v>2237.2899999999995</v>
      </c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/>
      <c r="BT156" s="15"/>
      <c r="BU156" s="15"/>
      <c r="BV156" s="15"/>
      <c r="BW156" s="15"/>
      <c r="BX156" s="15"/>
      <c r="BY156" s="15"/>
      <c r="BZ156" s="15"/>
      <c r="CA156" s="15"/>
      <c r="CB156" s="15"/>
      <c r="CC156" s="15"/>
      <c r="CD156" s="15"/>
      <c r="CE156" s="15"/>
      <c r="CF156" s="15"/>
      <c r="CG156" s="15"/>
      <c r="CH156" s="15"/>
      <c r="CI156" s="15"/>
      <c r="CJ156" s="15"/>
      <c r="CK156" s="15"/>
      <c r="CL156" s="15"/>
      <c r="CM156" s="15"/>
      <c r="CN156" s="15"/>
      <c r="CO156" s="15"/>
      <c r="CP156" s="15"/>
      <c r="CQ156" s="15"/>
      <c r="CR156" s="15"/>
    </row>
    <row r="157" spans="1:96" s="13" customFormat="1" ht="14">
      <c r="A157" s="46" t="s">
        <v>151</v>
      </c>
      <c r="B157" s="47">
        <v>1</v>
      </c>
      <c r="C157" s="47">
        <v>1</v>
      </c>
      <c r="D157" s="48" t="s">
        <v>8</v>
      </c>
      <c r="E157" s="49">
        <f t="shared" si="129"/>
        <v>1</v>
      </c>
      <c r="F157" s="49">
        <v>20.9</v>
      </c>
      <c r="G157" s="49">
        <f t="shared" si="151"/>
        <v>0.60651333333333324</v>
      </c>
      <c r="H157" s="49">
        <f>(G157+I157)/2</f>
        <v>0.67825666666666662</v>
      </c>
      <c r="I157" s="49">
        <v>0.75</v>
      </c>
      <c r="J157" s="49">
        <f t="shared" si="130"/>
        <v>0.26500000000000001</v>
      </c>
      <c r="K157" s="49">
        <f t="shared" si="131"/>
        <v>0.35333333333333333</v>
      </c>
      <c r="L157" s="49">
        <v>0.2</v>
      </c>
      <c r="M157" s="49">
        <v>0.2</v>
      </c>
      <c r="N157" s="49">
        <f t="shared" si="132"/>
        <v>0.10597014925373135</v>
      </c>
      <c r="O157" s="49">
        <f t="shared" si="149"/>
        <v>3.1191488161180363</v>
      </c>
      <c r="P157" s="49">
        <f t="shared" si="133"/>
        <v>0.84317875005181353</v>
      </c>
      <c r="Q157" s="49">
        <f t="shared" si="134"/>
        <v>1</v>
      </c>
      <c r="R157" s="49">
        <v>26</v>
      </c>
      <c r="S157" s="49">
        <f>1-0.824</f>
        <v>0.17600000000000005</v>
      </c>
      <c r="T157" s="49">
        <f>(R157/100+S157)/2</f>
        <v>0.21800000000000003</v>
      </c>
      <c r="U157" s="49">
        <v>0.434</v>
      </c>
      <c r="V157" s="49">
        <v>0.67</v>
      </c>
      <c r="W157" s="49">
        <f>(V157+U157+J157)/3</f>
        <v>0.45633333333333342</v>
      </c>
      <c r="X157" s="49">
        <f>-11/120</f>
        <v>-9.166666666666666E-2</v>
      </c>
      <c r="Y157" s="49">
        <f>X157</f>
        <v>-9.166666666666666E-2</v>
      </c>
      <c r="Z157" s="49">
        <f t="shared" si="150"/>
        <v>1.7908075559061341</v>
      </c>
      <c r="AA157" s="49">
        <v>21</v>
      </c>
      <c r="AB157" s="49">
        <v>13.5</v>
      </c>
      <c r="AC157" s="49">
        <v>5.5</v>
      </c>
      <c r="AD157" s="49"/>
      <c r="AE157" s="49">
        <v>7.35</v>
      </c>
      <c r="AF157" s="131">
        <f t="shared" si="135"/>
        <v>0.5741334131453526</v>
      </c>
      <c r="AG157" s="49">
        <v>1</v>
      </c>
      <c r="AH157" s="49">
        <v>27</v>
      </c>
      <c r="AI157" s="57">
        <f t="shared" si="136"/>
        <v>0.14839946000911922</v>
      </c>
      <c r="AJ157" s="57">
        <f t="shared" si="137"/>
        <v>0.71095040453893865</v>
      </c>
      <c r="AK157" s="57">
        <f t="shared" si="138"/>
        <v>3.0976000000000017E-2</v>
      </c>
      <c r="AL157" s="53">
        <f t="shared" si="139"/>
        <v>6.1973638128808295</v>
      </c>
      <c r="AM157" s="53">
        <f t="shared" si="140"/>
        <v>54.022499999999994</v>
      </c>
      <c r="AN157" s="80">
        <f t="shared" si="141"/>
        <v>0.84317875005181353</v>
      </c>
      <c r="AO157" s="80">
        <f t="shared" si="142"/>
        <v>1</v>
      </c>
      <c r="AP157" s="145">
        <f t="shared" si="143"/>
        <v>1.5099708765722772</v>
      </c>
      <c r="AQ157" s="145">
        <f t="shared" si="144"/>
        <v>3.2069917022905012</v>
      </c>
      <c r="AR157" s="100">
        <f t="shared" si="145"/>
        <v>4.6374831252849749</v>
      </c>
      <c r="AS157" s="100">
        <f t="shared" si="146"/>
        <v>30.25</v>
      </c>
      <c r="AT157" s="25">
        <f t="shared" si="147"/>
        <v>0.57189160841430953</v>
      </c>
      <c r="AU157" s="25">
        <f t="shared" si="148"/>
        <v>0.46003210587777771</v>
      </c>
      <c r="AV157" s="53">
        <f>AA157*P157</f>
        <v>17.706753751088083</v>
      </c>
      <c r="AW157" s="53">
        <f>AA157^2</f>
        <v>441</v>
      </c>
      <c r="AX157" s="100">
        <f t="shared" si="159"/>
        <v>21.92264750134715</v>
      </c>
      <c r="AY157" s="100">
        <f t="shared" si="160"/>
        <v>676</v>
      </c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  <c r="BY157" s="15"/>
      <c r="BZ157" s="15"/>
      <c r="CA157" s="15"/>
      <c r="CB157" s="15"/>
      <c r="CC157" s="15"/>
      <c r="CD157" s="15"/>
      <c r="CE157" s="15"/>
      <c r="CF157" s="15"/>
      <c r="CG157" s="15"/>
      <c r="CH157" s="15"/>
      <c r="CI157" s="15"/>
      <c r="CJ157" s="15"/>
      <c r="CK157" s="15"/>
      <c r="CL157" s="15"/>
      <c r="CM157" s="15"/>
      <c r="CN157" s="15"/>
      <c r="CO157" s="15"/>
      <c r="CP157" s="15"/>
      <c r="CQ157" s="15"/>
      <c r="CR157" s="15"/>
    </row>
    <row r="158" spans="1:96" s="79" customFormat="1" ht="14">
      <c r="A158" s="46" t="s">
        <v>152</v>
      </c>
      <c r="B158" s="47">
        <v>1</v>
      </c>
      <c r="C158" s="47">
        <v>1</v>
      </c>
      <c r="D158" s="48" t="s">
        <v>8</v>
      </c>
      <c r="E158" s="49">
        <f t="shared" si="129"/>
        <v>1</v>
      </c>
      <c r="F158" s="49">
        <v>24.6</v>
      </c>
      <c r="G158" s="49">
        <f t="shared" si="151"/>
        <v>0.89092000000000016</v>
      </c>
      <c r="H158" s="49">
        <f>(G158+I158)/2</f>
        <v>0.82046000000000008</v>
      </c>
      <c r="I158" s="49">
        <v>0.75</v>
      </c>
      <c r="J158" s="49">
        <f t="shared" si="130"/>
        <v>0.23099999999999998</v>
      </c>
      <c r="K158" s="49">
        <f t="shared" si="131"/>
        <v>0.308</v>
      </c>
      <c r="L158" s="49">
        <v>0.14000000000000001</v>
      </c>
      <c r="M158" s="49">
        <v>0.2</v>
      </c>
      <c r="N158" s="49">
        <f t="shared" si="132"/>
        <v>0.10417910447761194</v>
      </c>
      <c r="O158" s="49">
        <f t="shared" si="149"/>
        <v>3.4302704431793645</v>
      </c>
      <c r="P158" s="49">
        <f t="shared" si="133"/>
        <v>0.76670339658769593</v>
      </c>
      <c r="Q158" s="49">
        <f t="shared" si="134"/>
        <v>1</v>
      </c>
      <c r="R158" s="49">
        <v>28.4</v>
      </c>
      <c r="S158" s="49">
        <f>1-0.828</f>
        <v>0.17200000000000004</v>
      </c>
      <c r="T158" s="49">
        <f>(R158/100+S158)/2</f>
        <v>0.22800000000000001</v>
      </c>
      <c r="U158" s="49">
        <v>0.45500000000000002</v>
      </c>
      <c r="V158" s="49">
        <v>0.89</v>
      </c>
      <c r="W158" s="49">
        <f>(V158+U158+J158)/3</f>
        <v>0.52533333333333332</v>
      </c>
      <c r="X158" s="49">
        <f>2/109</f>
        <v>1.834862385321101E-2</v>
      </c>
      <c r="Y158" s="49">
        <f>X158</f>
        <v>1.834862385321101E-2</v>
      </c>
      <c r="Z158" s="49">
        <f t="shared" si="150"/>
        <v>2.1634019448379638</v>
      </c>
      <c r="AA158" s="49">
        <v>12.3</v>
      </c>
      <c r="AB158" s="49">
        <v>10.8</v>
      </c>
      <c r="AC158" s="49">
        <v>2</v>
      </c>
      <c r="AD158" s="49"/>
      <c r="AE158" s="49">
        <v>7.69</v>
      </c>
      <c r="AF158" s="131">
        <f t="shared" si="135"/>
        <v>0.63067970315273547</v>
      </c>
      <c r="AG158" s="49">
        <v>1</v>
      </c>
      <c r="AH158" s="49">
        <v>57</v>
      </c>
      <c r="AI158" s="57">
        <f t="shared" si="136"/>
        <v>0.13187298421308374</v>
      </c>
      <c r="AJ158" s="57">
        <f t="shared" si="137"/>
        <v>0.58783409833910971</v>
      </c>
      <c r="AK158" s="57">
        <f t="shared" si="138"/>
        <v>2.9584000000000013E-2</v>
      </c>
      <c r="AL158" s="53">
        <f t="shared" si="139"/>
        <v>5.8959491197593819</v>
      </c>
      <c r="AM158" s="53">
        <f t="shared" si="140"/>
        <v>59.136100000000006</v>
      </c>
      <c r="AN158" s="80">
        <f t="shared" si="141"/>
        <v>0.76670339658769593</v>
      </c>
      <c r="AO158" s="80">
        <f t="shared" si="142"/>
        <v>1</v>
      </c>
      <c r="AP158" s="145">
        <f t="shared" si="143"/>
        <v>1.6586876192916939</v>
      </c>
      <c r="AQ158" s="145">
        <f t="shared" si="144"/>
        <v>4.6803079749286844</v>
      </c>
      <c r="AR158" s="100">
        <f t="shared" si="145"/>
        <v>1.5334067931753919</v>
      </c>
      <c r="AS158" s="100">
        <f t="shared" si="146"/>
        <v>4</v>
      </c>
      <c r="AT158" s="25">
        <f t="shared" si="147"/>
        <v>0.62904946876434109</v>
      </c>
      <c r="AU158" s="25">
        <f t="shared" si="148"/>
        <v>0.67315461160000012</v>
      </c>
      <c r="AV158" s="53">
        <f>AA158*P158</f>
        <v>9.4304517780286599</v>
      </c>
      <c r="AW158" s="53">
        <f>AA158^2</f>
        <v>151.29000000000002</v>
      </c>
      <c r="AX158" s="100">
        <f t="shared" si="159"/>
        <v>21.774376463090562</v>
      </c>
      <c r="AY158" s="100">
        <f t="shared" si="160"/>
        <v>806.56</v>
      </c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/>
      <c r="BT158" s="15"/>
      <c r="BU158" s="15"/>
      <c r="BV158" s="15"/>
      <c r="BW158" s="15"/>
      <c r="BX158" s="15"/>
      <c r="BY158" s="15"/>
      <c r="BZ158" s="15"/>
      <c r="CA158" s="15"/>
      <c r="CB158" s="15"/>
      <c r="CC158" s="15"/>
      <c r="CD158" s="15"/>
      <c r="CE158" s="15"/>
      <c r="CF158" s="15"/>
      <c r="CG158" s="15"/>
      <c r="CH158" s="15"/>
      <c r="CI158" s="15"/>
      <c r="CJ158" s="15"/>
      <c r="CK158" s="15"/>
      <c r="CL158" s="15"/>
      <c r="CM158" s="15"/>
      <c r="CN158" s="15"/>
      <c r="CO158" s="15"/>
      <c r="CP158" s="15"/>
      <c r="CQ158" s="15"/>
      <c r="CR158" s="15"/>
    </row>
    <row r="159" spans="1:96" s="99" customFormat="1" ht="14">
      <c r="A159" s="16" t="s">
        <v>153</v>
      </c>
      <c r="B159" s="14">
        <v>4</v>
      </c>
      <c r="C159" s="14">
        <v>3</v>
      </c>
      <c r="D159" s="22" t="s">
        <v>3</v>
      </c>
      <c r="E159" s="15">
        <f t="shared" si="129"/>
        <v>1.8333333333333335</v>
      </c>
      <c r="F159" s="15"/>
      <c r="G159" s="25">
        <f t="shared" si="151"/>
        <v>-1</v>
      </c>
      <c r="H159" s="15">
        <v>0.67</v>
      </c>
      <c r="I159" s="15">
        <v>0.67</v>
      </c>
      <c r="J159" s="25">
        <f t="shared" si="130"/>
        <v>0.51</v>
      </c>
      <c r="K159" s="57">
        <f t="shared" si="131"/>
        <v>0.68</v>
      </c>
      <c r="L159" s="15">
        <v>0.03</v>
      </c>
      <c r="M159" s="15">
        <v>0.2</v>
      </c>
      <c r="N159" s="70">
        <f t="shared" si="132"/>
        <v>0.10089552238805971</v>
      </c>
      <c r="O159" s="53">
        <f t="shared" si="149"/>
        <v>14.29593347401876</v>
      </c>
      <c r="P159" s="25">
        <f t="shared" si="133"/>
        <v>0.18396839945986926</v>
      </c>
      <c r="Q159" s="15">
        <f t="shared" si="134"/>
        <v>0.7222222222222221</v>
      </c>
      <c r="R159" s="15"/>
      <c r="S159" s="15">
        <v>0.50600000000000001</v>
      </c>
      <c r="T159" s="70">
        <f>S159</f>
        <v>0.50600000000000001</v>
      </c>
      <c r="U159" s="15"/>
      <c r="V159" s="15">
        <v>0.43</v>
      </c>
      <c r="W159" s="25">
        <f>(V159+K159)/2</f>
        <v>0.55500000000000005</v>
      </c>
      <c r="X159" s="15" t="s">
        <v>225</v>
      </c>
      <c r="Y159" s="15">
        <v>0.1</v>
      </c>
      <c r="Z159" s="25">
        <f t="shared" si="150"/>
        <v>2.3128950309263008</v>
      </c>
      <c r="AA159" s="15" t="s">
        <v>223</v>
      </c>
      <c r="AB159" s="15"/>
      <c r="AC159" s="15">
        <v>0.55300000000000005</v>
      </c>
      <c r="AD159" s="75"/>
      <c r="AE159" s="108">
        <v>4.9000000000000004</v>
      </c>
      <c r="AF159" s="131">
        <f t="shared" si="135"/>
        <v>0.16178691899551195</v>
      </c>
      <c r="AG159" s="15"/>
      <c r="AH159" s="15">
        <v>45</v>
      </c>
      <c r="AI159" s="57">
        <f t="shared" si="136"/>
        <v>9.3088010126693849E-2</v>
      </c>
      <c r="AJ159" s="57">
        <f t="shared" si="137"/>
        <v>3.3844371999826026E-2</v>
      </c>
      <c r="AK159" s="57">
        <f t="shared" si="138"/>
        <v>0.25603599999999999</v>
      </c>
      <c r="AL159" s="53">
        <f t="shared" si="139"/>
        <v>0.90144515735335939</v>
      </c>
      <c r="AM159" s="53">
        <f t="shared" si="140"/>
        <v>24.010000000000005</v>
      </c>
      <c r="AN159" s="80">
        <f t="shared" si="141"/>
        <v>0.33727539900976033</v>
      </c>
      <c r="AO159" s="80">
        <f t="shared" si="142"/>
        <v>3.3611111111111116</v>
      </c>
      <c r="AP159" s="145">
        <f t="shared" si="143"/>
        <v>0.42549959695819639</v>
      </c>
      <c r="AQ159" s="145">
        <f t="shared" si="144"/>
        <v>5.3494834240835738</v>
      </c>
      <c r="AR159" s="100">
        <f t="shared" si="145"/>
        <v>0.1017345249013077</v>
      </c>
      <c r="AS159" s="100">
        <f t="shared" si="146"/>
        <v>0.30580900000000005</v>
      </c>
      <c r="AT159" s="25">
        <f t="shared" si="147"/>
        <v>0.12325882763811241</v>
      </c>
      <c r="AU159" s="25">
        <f t="shared" si="148"/>
        <v>0.44890000000000008</v>
      </c>
      <c r="AV159" s="53"/>
      <c r="AW159" s="53"/>
      <c r="AX159" s="100"/>
      <c r="AY159" s="100"/>
    </row>
    <row r="160" spans="1:96" s="25" customFormat="1" ht="14">
      <c r="A160" s="71" t="s">
        <v>154</v>
      </c>
      <c r="B160" s="72">
        <v>7</v>
      </c>
      <c r="C160" s="72">
        <v>7</v>
      </c>
      <c r="D160" s="73" t="s">
        <v>4</v>
      </c>
      <c r="E160" s="74">
        <f t="shared" si="129"/>
        <v>3</v>
      </c>
      <c r="F160" s="74"/>
      <c r="G160" s="74">
        <f t="shared" si="151"/>
        <v>-1</v>
      </c>
      <c r="H160" s="74">
        <v>0.75</v>
      </c>
      <c r="I160" s="74">
        <v>0.75</v>
      </c>
      <c r="J160" s="74">
        <f t="shared" si="130"/>
        <v>0.81</v>
      </c>
      <c r="K160" s="74">
        <f t="shared" si="131"/>
        <v>1.08</v>
      </c>
      <c r="L160" s="74">
        <v>0.05</v>
      </c>
      <c r="M160" s="74">
        <v>0.2</v>
      </c>
      <c r="N160" s="74">
        <f t="shared" si="132"/>
        <v>0.10149253731343284</v>
      </c>
      <c r="O160" s="74">
        <f t="shared" si="149"/>
        <v>328.48054484026659</v>
      </c>
      <c r="P160" s="74">
        <f t="shared" si="133"/>
        <v>8.0065624625620235E-3</v>
      </c>
      <c r="Q160" s="74">
        <f t="shared" si="134"/>
        <v>0.33333333333333337</v>
      </c>
      <c r="R160" s="74"/>
      <c r="S160" s="139">
        <v>0.9</v>
      </c>
      <c r="T160" s="70">
        <f>S160</f>
        <v>0.9</v>
      </c>
      <c r="U160" s="74"/>
      <c r="V160" s="74">
        <v>0.74</v>
      </c>
      <c r="W160" s="25">
        <f>(V160+K160)/2</f>
        <v>0.91</v>
      </c>
      <c r="X160" s="74" t="s">
        <v>223</v>
      </c>
      <c r="Y160" s="74">
        <v>0.3</v>
      </c>
      <c r="Z160" s="74">
        <f t="shared" si="150"/>
        <v>2.0204764164513578</v>
      </c>
      <c r="AA160" s="74" t="s">
        <v>223</v>
      </c>
      <c r="AB160" s="74"/>
      <c r="AC160" s="74">
        <v>9.33</v>
      </c>
      <c r="AD160" s="74"/>
      <c r="AE160" s="74">
        <v>1.9</v>
      </c>
      <c r="AF160" s="131">
        <f t="shared" si="135"/>
        <v>6.1509774267875569E-3</v>
      </c>
      <c r="AG160" s="74">
        <v>1</v>
      </c>
      <c r="AH160" s="74">
        <v>58</v>
      </c>
      <c r="AI160" s="57">
        <f t="shared" si="136"/>
        <v>7.2059062163058211E-3</v>
      </c>
      <c r="AJ160" s="57">
        <f t="shared" si="137"/>
        <v>6.4105042466907253E-5</v>
      </c>
      <c r="AK160" s="57">
        <f t="shared" si="138"/>
        <v>0.81</v>
      </c>
      <c r="AL160" s="53">
        <f t="shared" si="139"/>
        <v>1.5212468678867844E-2</v>
      </c>
      <c r="AM160" s="53">
        <f t="shared" si="140"/>
        <v>3.61</v>
      </c>
      <c r="AN160" s="80">
        <f t="shared" si="141"/>
        <v>2.4019687387686069E-2</v>
      </c>
      <c r="AO160" s="80">
        <f t="shared" si="142"/>
        <v>9</v>
      </c>
      <c r="AP160" s="145">
        <f t="shared" si="143"/>
        <v>1.6177070632451277E-2</v>
      </c>
      <c r="AQ160" s="145">
        <f t="shared" si="144"/>
        <v>4.0823249494361207</v>
      </c>
      <c r="AR160" s="100">
        <f t="shared" si="145"/>
        <v>7.4701227775703677E-2</v>
      </c>
      <c r="AS160" s="100">
        <f t="shared" si="146"/>
        <v>87.048900000000003</v>
      </c>
      <c r="AT160" s="25">
        <f t="shared" si="147"/>
        <v>6.0049218469215172E-3</v>
      </c>
      <c r="AU160" s="25">
        <f t="shared" si="148"/>
        <v>0.5625</v>
      </c>
      <c r="AV160" s="147"/>
      <c r="AW160" s="147"/>
      <c r="AX160" s="158"/>
      <c r="AY160" s="158"/>
      <c r="AZ160" s="15"/>
      <c r="BA160" s="15"/>
      <c r="BB160" s="15"/>
      <c r="BC160" s="15"/>
      <c r="BD160" s="15"/>
      <c r="BE160" s="15"/>
      <c r="BF160" s="15"/>
      <c r="BG160" s="15"/>
      <c r="BH160" s="15"/>
      <c r="BI160" s="15"/>
      <c r="BJ160" s="15"/>
      <c r="BK160" s="15"/>
      <c r="BL160" s="15"/>
      <c r="BM160" s="15"/>
      <c r="BN160" s="15"/>
      <c r="BO160" s="15"/>
      <c r="BP160" s="15"/>
      <c r="BQ160" s="15"/>
      <c r="BR160" s="15"/>
      <c r="BS160" s="15"/>
      <c r="BT160" s="15"/>
      <c r="BU160" s="15"/>
      <c r="BV160" s="15"/>
      <c r="BW160" s="15"/>
      <c r="BX160" s="15"/>
      <c r="BY160" s="15"/>
      <c r="BZ160" s="15"/>
      <c r="CA160" s="15"/>
      <c r="CB160" s="15"/>
      <c r="CC160" s="15"/>
      <c r="CD160" s="15"/>
      <c r="CE160" s="15"/>
      <c r="CF160" s="15"/>
      <c r="CG160" s="15"/>
      <c r="CH160" s="15"/>
      <c r="CI160" s="15"/>
      <c r="CJ160" s="15"/>
      <c r="CK160" s="15"/>
      <c r="CL160" s="15"/>
      <c r="CM160" s="15"/>
      <c r="CN160" s="15"/>
      <c r="CO160" s="15"/>
      <c r="CP160" s="15"/>
      <c r="CQ160" s="15"/>
      <c r="CR160" s="15"/>
    </row>
    <row r="161" spans="1:96" s="99" customFormat="1" ht="14">
      <c r="A161" s="96" t="s">
        <v>155</v>
      </c>
      <c r="B161" s="97">
        <v>2</v>
      </c>
      <c r="C161" s="97">
        <v>2</v>
      </c>
      <c r="D161" s="98" t="s">
        <v>8</v>
      </c>
      <c r="E161" s="99">
        <f t="shared" si="129"/>
        <v>1.3333333333333333</v>
      </c>
      <c r="F161" s="99">
        <v>44.7</v>
      </c>
      <c r="G161" s="99">
        <f t="shared" si="151"/>
        <v>2.4359400000000004</v>
      </c>
      <c r="H161" s="99">
        <f>(G161+I161)/2</f>
        <v>1.7179700000000002</v>
      </c>
      <c r="I161" s="99">
        <v>1</v>
      </c>
      <c r="J161" s="99">
        <f t="shared" si="130"/>
        <v>0.22099999999999997</v>
      </c>
      <c r="K161" s="57">
        <f t="shared" si="131"/>
        <v>0.29466666666666663</v>
      </c>
      <c r="L161" s="99">
        <v>0.67</v>
      </c>
      <c r="M161" s="99">
        <v>0.6</v>
      </c>
      <c r="N161" s="70">
        <f t="shared" si="132"/>
        <v>0.32</v>
      </c>
      <c r="O161" s="99">
        <f t="shared" si="149"/>
        <v>22.425130385548893</v>
      </c>
      <c r="P161" s="99">
        <f t="shared" si="133"/>
        <v>0.11727913973221815</v>
      </c>
      <c r="Q161" s="99">
        <f t="shared" si="134"/>
        <v>0.88888888888888895</v>
      </c>
      <c r="R161" s="99">
        <v>65</v>
      </c>
      <c r="S161" s="99">
        <v>0.40300000000000002</v>
      </c>
      <c r="T161" s="99">
        <f>(R161/100+S161)/2</f>
        <v>0.52649999999999997</v>
      </c>
      <c r="U161" s="99">
        <v>0.35599999999999998</v>
      </c>
      <c r="V161" s="99">
        <f>1-0.34</f>
        <v>0.65999999999999992</v>
      </c>
      <c r="W161" s="99">
        <f t="shared" ref="W161:W168" si="161">(V161+U161+J161)/3</f>
        <v>0.41233333333333338</v>
      </c>
      <c r="X161" s="99">
        <v>5.1999999999999998E-2</v>
      </c>
      <c r="Y161" s="99">
        <f>X161</f>
        <v>5.1999999999999998E-2</v>
      </c>
      <c r="Z161" s="99">
        <f t="shared" si="150"/>
        <v>2.4126862196414698</v>
      </c>
      <c r="AA161" s="99">
        <v>50</v>
      </c>
      <c r="AB161" s="99">
        <v>23.9</v>
      </c>
      <c r="AC161" s="99">
        <v>50.58</v>
      </c>
      <c r="AE161" s="99">
        <v>7.79</v>
      </c>
      <c r="AF161" s="131">
        <f t="shared" si="135"/>
        <v>0.10758850352978294</v>
      </c>
      <c r="AG161" s="15">
        <v>1</v>
      </c>
      <c r="AH161" s="15">
        <v>59</v>
      </c>
      <c r="AI161" s="57">
        <f t="shared" si="136"/>
        <v>4.7263493312083918E-2</v>
      </c>
      <c r="AJ161" s="57">
        <f t="shared" si="137"/>
        <v>1.375439661632915E-2</v>
      </c>
      <c r="AK161" s="57">
        <f t="shared" si="138"/>
        <v>0.16240900000000003</v>
      </c>
      <c r="AL161" s="53">
        <f t="shared" si="139"/>
        <v>0.9136044985139794</v>
      </c>
      <c r="AM161" s="53">
        <f t="shared" si="140"/>
        <v>60.684100000000001</v>
      </c>
      <c r="AN161" s="80">
        <f t="shared" si="141"/>
        <v>0.15637218630962418</v>
      </c>
      <c r="AO161" s="80">
        <f t="shared" si="142"/>
        <v>1.7777777777777777</v>
      </c>
      <c r="AP161" s="145">
        <f t="shared" si="143"/>
        <v>0.28295776428332908</v>
      </c>
      <c r="AQ161" s="145">
        <f t="shared" si="144"/>
        <v>5.8210547944478463</v>
      </c>
      <c r="AR161" s="100">
        <f t="shared" si="145"/>
        <v>5.9319788876555943</v>
      </c>
      <c r="AS161" s="100">
        <f t="shared" si="146"/>
        <v>2558.3363999999997</v>
      </c>
      <c r="AT161" s="25">
        <f t="shared" si="147"/>
        <v>0.20148204368575884</v>
      </c>
      <c r="AU161" s="25">
        <f t="shared" si="148"/>
        <v>2.9514209209000009</v>
      </c>
      <c r="AV161" s="53">
        <f>AA161*P161</f>
        <v>5.8639569866109076</v>
      </c>
      <c r="AW161" s="53">
        <f>AA161^2</f>
        <v>2500</v>
      </c>
      <c r="AX161" s="100">
        <f>P161*R161</f>
        <v>7.6231440825941803</v>
      </c>
      <c r="AY161" s="100">
        <f>R161*R161</f>
        <v>4225</v>
      </c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5"/>
      <c r="BU161" s="15"/>
      <c r="BV161" s="15"/>
      <c r="BW161" s="15"/>
      <c r="BX161" s="15"/>
      <c r="BY161" s="15"/>
      <c r="BZ161" s="15"/>
      <c r="CA161" s="15"/>
      <c r="CB161" s="15"/>
      <c r="CC161" s="15"/>
      <c r="CD161" s="15"/>
      <c r="CE161" s="15"/>
      <c r="CF161" s="15"/>
      <c r="CG161" s="15"/>
      <c r="CH161" s="15"/>
      <c r="CI161" s="15"/>
      <c r="CJ161" s="15"/>
      <c r="CK161" s="15"/>
      <c r="CL161" s="15"/>
      <c r="CM161" s="15"/>
      <c r="CN161" s="15"/>
      <c r="CO161" s="15"/>
      <c r="CP161" s="15"/>
      <c r="CQ161" s="15"/>
      <c r="CR161" s="15"/>
    </row>
    <row r="162" spans="1:96" s="13" customFormat="1" ht="14">
      <c r="A162" s="26" t="s">
        <v>156</v>
      </c>
      <c r="B162" s="24">
        <v>1</v>
      </c>
      <c r="C162" s="24">
        <v>2</v>
      </c>
      <c r="D162" s="27" t="s">
        <v>8</v>
      </c>
      <c r="E162" s="25">
        <f t="shared" si="129"/>
        <v>1.1666666666666667</v>
      </c>
      <c r="F162" s="25">
        <v>24.2</v>
      </c>
      <c r="G162" s="25">
        <f t="shared" si="151"/>
        <v>0.86017333333333323</v>
      </c>
      <c r="H162" s="25">
        <f>(G162+I162)/2</f>
        <v>0.80508666666666662</v>
      </c>
      <c r="I162" s="25">
        <v>0.75</v>
      </c>
      <c r="J162" s="25">
        <f t="shared" si="130"/>
        <v>0.18900000000000006</v>
      </c>
      <c r="K162" s="25">
        <f t="shared" si="131"/>
        <v>0.25200000000000006</v>
      </c>
      <c r="L162" s="25">
        <v>1.37</v>
      </c>
      <c r="M162" s="25">
        <v>0.6</v>
      </c>
      <c r="N162" s="25">
        <f t="shared" si="132"/>
        <v>0.3408955223880597</v>
      </c>
      <c r="O162" s="25">
        <f t="shared" si="149"/>
        <v>5.108874985398935</v>
      </c>
      <c r="P162" s="25">
        <f t="shared" si="133"/>
        <v>0.5147904396792814</v>
      </c>
      <c r="Q162" s="25">
        <f t="shared" si="134"/>
        <v>0.94444444444444442</v>
      </c>
      <c r="R162" s="25">
        <v>31</v>
      </c>
      <c r="S162" s="25">
        <f>1-0.877</f>
        <v>0.123</v>
      </c>
      <c r="T162" s="25">
        <f>(R162/100+S162)/2</f>
        <v>0.2165</v>
      </c>
      <c r="U162" s="25">
        <v>0.33300000000000002</v>
      </c>
      <c r="V162" s="25">
        <v>0.6</v>
      </c>
      <c r="W162" s="25">
        <f t="shared" si="161"/>
        <v>0.37400000000000005</v>
      </c>
      <c r="X162" s="25">
        <f>-14/120</f>
        <v>-0.11666666666666667</v>
      </c>
      <c r="Y162" s="25">
        <f>X162</f>
        <v>-0.11666666666666667</v>
      </c>
      <c r="Z162" s="25">
        <f t="shared" si="150"/>
        <v>1.564410787138433</v>
      </c>
      <c r="AA162" s="25">
        <v>15</v>
      </c>
      <c r="AB162" s="25">
        <v>3.4</v>
      </c>
      <c r="AC162" s="25">
        <v>49</v>
      </c>
      <c r="AD162" s="25"/>
      <c r="AE162" s="25">
        <v>8.11</v>
      </c>
      <c r="AF162" s="131">
        <f t="shared" si="135"/>
        <v>0.30621434104562911</v>
      </c>
      <c r="AG162" s="25">
        <v>1</v>
      </c>
      <c r="AH162" s="49">
        <v>16</v>
      </c>
      <c r="AI162" s="57">
        <f t="shared" si="136"/>
        <v>6.3319224080551614E-2</v>
      </c>
      <c r="AJ162" s="57">
        <f t="shared" si="137"/>
        <v>0.26500919678518786</v>
      </c>
      <c r="AK162" s="57">
        <f t="shared" si="138"/>
        <v>1.5129E-2</v>
      </c>
      <c r="AL162" s="53">
        <f t="shared" si="139"/>
        <v>4.1749504657989718</v>
      </c>
      <c r="AM162" s="53">
        <f t="shared" si="140"/>
        <v>65.772099999999995</v>
      </c>
      <c r="AN162" s="80">
        <f t="shared" si="141"/>
        <v>0.60058884629249498</v>
      </c>
      <c r="AO162" s="80">
        <f t="shared" si="142"/>
        <v>1.3611111111111114</v>
      </c>
      <c r="AP162" s="145">
        <f t="shared" si="143"/>
        <v>0.80534371695000462</v>
      </c>
      <c r="AQ162" s="145">
        <f t="shared" si="144"/>
        <v>2.4473811109150914</v>
      </c>
      <c r="AR162" s="100">
        <f t="shared" si="145"/>
        <v>25.22473154428479</v>
      </c>
      <c r="AS162" s="100">
        <f t="shared" si="146"/>
        <v>2401</v>
      </c>
      <c r="AT162" s="25">
        <f t="shared" si="147"/>
        <v>0.41445091911326037</v>
      </c>
      <c r="AU162" s="25">
        <f t="shared" si="148"/>
        <v>0.64816454084444441</v>
      </c>
      <c r="AV162" s="53">
        <f>AA162*P162</f>
        <v>7.7218565951892213</v>
      </c>
      <c r="AW162" s="53">
        <f>AA162^2</f>
        <v>225</v>
      </c>
      <c r="AX162" s="100">
        <f>P162*R162</f>
        <v>15.958503630057724</v>
      </c>
      <c r="AY162" s="100">
        <f>R162*R162</f>
        <v>961</v>
      </c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5"/>
      <c r="BO162" s="15"/>
      <c r="BP162" s="15"/>
      <c r="BQ162" s="15"/>
      <c r="BR162" s="15"/>
      <c r="BS162" s="15"/>
      <c r="BT162" s="15"/>
      <c r="BU162" s="15"/>
      <c r="BV162" s="15"/>
      <c r="BW162" s="15"/>
      <c r="BX162" s="15"/>
      <c r="BY162" s="15"/>
      <c r="BZ162" s="15"/>
      <c r="CA162" s="15"/>
      <c r="CB162" s="15"/>
      <c r="CC162" s="15"/>
      <c r="CD162" s="15"/>
      <c r="CE162" s="15"/>
      <c r="CF162" s="15"/>
      <c r="CG162" s="15"/>
      <c r="CH162" s="15"/>
      <c r="CI162" s="15"/>
      <c r="CJ162" s="15"/>
      <c r="CK162" s="15"/>
      <c r="CL162" s="15"/>
      <c r="CM162" s="15"/>
      <c r="CN162" s="15"/>
      <c r="CO162" s="15"/>
      <c r="CP162" s="15"/>
      <c r="CQ162" s="15"/>
      <c r="CR162" s="15"/>
    </row>
    <row r="163" spans="1:96" s="39" customFormat="1" ht="14">
      <c r="A163" s="36" t="s">
        <v>157</v>
      </c>
      <c r="B163" s="37">
        <v>1</v>
      </c>
      <c r="C163" s="37">
        <v>1</v>
      </c>
      <c r="D163" s="38" t="s">
        <v>8</v>
      </c>
      <c r="E163" s="39">
        <f t="shared" si="129"/>
        <v>1</v>
      </c>
      <c r="F163" s="39">
        <v>26.6</v>
      </c>
      <c r="G163" s="39">
        <f t="shared" si="151"/>
        <v>1.0446533333333337</v>
      </c>
      <c r="H163" s="39">
        <f>(G163+I163)/2</f>
        <v>1.0223266666666668</v>
      </c>
      <c r="I163" s="39">
        <v>1</v>
      </c>
      <c r="J163" s="39">
        <f t="shared" si="130"/>
        <v>0.18399999999999994</v>
      </c>
      <c r="K163" s="39">
        <f t="shared" si="131"/>
        <v>0.24533333333333326</v>
      </c>
      <c r="L163" s="39">
        <v>1.63</v>
      </c>
      <c r="M163" s="39">
        <v>0.4</v>
      </c>
      <c r="N163" s="39">
        <f t="shared" si="132"/>
        <v>0.24865671641791046</v>
      </c>
      <c r="O163" s="39">
        <f t="shared" si="149"/>
        <v>4.5554153698283875</v>
      </c>
      <c r="P163" s="39">
        <f t="shared" si="133"/>
        <v>0.57733483919361628</v>
      </c>
      <c r="Q163" s="39">
        <f t="shared" si="134"/>
        <v>1</v>
      </c>
      <c r="R163" s="39">
        <v>32</v>
      </c>
      <c r="S163" s="39">
        <f>1-0.863</f>
        <v>0.13700000000000001</v>
      </c>
      <c r="T163" s="39">
        <f>(R163/100+S163)/2</f>
        <v>0.22850000000000001</v>
      </c>
      <c r="U163" s="39">
        <v>0.68200000000000005</v>
      </c>
      <c r="V163" s="39">
        <v>0.92</v>
      </c>
      <c r="W163" s="39">
        <f t="shared" si="161"/>
        <v>0.59533333333333338</v>
      </c>
      <c r="X163" s="39">
        <f>-7/104</f>
        <v>-6.7307692307692304E-2</v>
      </c>
      <c r="Y163" s="39">
        <f>X163</f>
        <v>-6.7307692307692304E-2</v>
      </c>
      <c r="Z163" s="39">
        <f t="shared" si="150"/>
        <v>2.1308599721352346</v>
      </c>
      <c r="AA163" s="39">
        <v>19.8</v>
      </c>
      <c r="AB163" s="39">
        <v>20.8</v>
      </c>
      <c r="AC163" s="39">
        <v>45</v>
      </c>
      <c r="AE163" s="39">
        <v>8.16</v>
      </c>
      <c r="AF163" s="131">
        <f t="shared" si="135"/>
        <v>0.46776414424213281</v>
      </c>
      <c r="AG163" s="39">
        <v>1</v>
      </c>
      <c r="AH163" s="39">
        <v>25</v>
      </c>
      <c r="AI163" s="57">
        <f t="shared" si="136"/>
        <v>7.9094872969525443E-2</v>
      </c>
      <c r="AJ163" s="57">
        <f t="shared" si="137"/>
        <v>0.33331551654671876</v>
      </c>
      <c r="AK163" s="57">
        <f t="shared" si="138"/>
        <v>1.8769000000000004E-2</v>
      </c>
      <c r="AL163" s="53">
        <f t="shared" si="139"/>
        <v>4.7110522878199088</v>
      </c>
      <c r="AM163" s="53">
        <f t="shared" si="140"/>
        <v>66.585599999999999</v>
      </c>
      <c r="AN163" s="80">
        <f t="shared" si="141"/>
        <v>0.57733483919361628</v>
      </c>
      <c r="AO163" s="80">
        <f t="shared" si="142"/>
        <v>1</v>
      </c>
      <c r="AP163" s="145">
        <f t="shared" si="143"/>
        <v>1.2302196993568093</v>
      </c>
      <c r="AQ163" s="145">
        <f t="shared" si="144"/>
        <v>4.5405642208481725</v>
      </c>
      <c r="AR163" s="100">
        <f t="shared" si="145"/>
        <v>25.980067763712732</v>
      </c>
      <c r="AS163" s="100">
        <f t="shared" si="146"/>
        <v>2025</v>
      </c>
      <c r="AT163" s="25">
        <f t="shared" si="147"/>
        <v>0.59022480170334579</v>
      </c>
      <c r="AU163" s="25">
        <f t="shared" si="148"/>
        <v>1.0451518133777782</v>
      </c>
      <c r="AV163" s="53">
        <f>AA163*P163</f>
        <v>11.431229816033603</v>
      </c>
      <c r="AW163" s="53">
        <f>AA163^2</f>
        <v>392.04</v>
      </c>
      <c r="AX163" s="100">
        <f>P163*R163</f>
        <v>18.474714854195721</v>
      </c>
      <c r="AY163" s="100">
        <f>R163*R163</f>
        <v>1024</v>
      </c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  <c r="BN163" s="15"/>
      <c r="BO163" s="15"/>
      <c r="BP163" s="15"/>
      <c r="BQ163" s="15"/>
      <c r="BR163" s="15"/>
      <c r="BS163" s="15"/>
      <c r="BT163" s="15"/>
      <c r="BU163" s="15"/>
      <c r="BV163" s="15"/>
      <c r="BW163" s="15"/>
      <c r="BX163" s="15"/>
      <c r="BY163" s="15"/>
      <c r="BZ163" s="15"/>
      <c r="CA163" s="15"/>
      <c r="CB163" s="15"/>
      <c r="CC163" s="15"/>
      <c r="CD163" s="15"/>
      <c r="CE163" s="15"/>
      <c r="CF163" s="15"/>
      <c r="CG163" s="15"/>
      <c r="CH163" s="15"/>
      <c r="CI163" s="15"/>
      <c r="CJ163" s="15"/>
      <c r="CK163" s="15"/>
      <c r="CL163" s="15"/>
      <c r="CM163" s="15"/>
      <c r="CN163" s="15"/>
      <c r="CO163" s="15"/>
      <c r="CP163" s="15"/>
      <c r="CQ163" s="15"/>
      <c r="CR163" s="15"/>
    </row>
    <row r="164" spans="1:96" s="15" customFormat="1" ht="14">
      <c r="A164" s="16" t="s">
        <v>158</v>
      </c>
      <c r="B164" s="14">
        <v>5</v>
      </c>
      <c r="C164" s="14">
        <v>4</v>
      </c>
      <c r="D164" s="22" t="s">
        <v>3</v>
      </c>
      <c r="E164" s="15">
        <f t="shared" ref="E164:E197" si="162">1+(-2+B164+C164)/6</f>
        <v>2.166666666666667</v>
      </c>
      <c r="F164" s="15">
        <v>36.799999999999997</v>
      </c>
      <c r="G164" s="25">
        <f t="shared" si="151"/>
        <v>1.8286933333333333</v>
      </c>
      <c r="H164" s="15">
        <f>(G164+I164)/2</f>
        <v>1.2893466666666666</v>
      </c>
      <c r="I164" s="15">
        <v>0.75</v>
      </c>
      <c r="J164" s="25">
        <f t="shared" ref="J164:J197" si="163">1-AE164/10</f>
        <v>0.33600000000000008</v>
      </c>
      <c r="K164" s="57">
        <f t="shared" ref="K164:K195" si="164">4*J164/3</f>
        <v>0.44800000000000012</v>
      </c>
      <c r="L164" s="15">
        <v>0.19</v>
      </c>
      <c r="M164" s="15">
        <v>0.2</v>
      </c>
      <c r="N164" s="70">
        <f t="shared" ref="N164:N195" si="165">(L164/16.75+M164)/2</f>
        <v>0.10567164179104478</v>
      </c>
      <c r="O164" s="53">
        <f t="shared" si="149"/>
        <v>54.228485601689407</v>
      </c>
      <c r="P164" s="25">
        <f t="shared" ref="P164:P195" si="166">2.63/O164</f>
        <v>4.8498496146793857E-2</v>
      </c>
      <c r="Q164" s="15">
        <f t="shared" ref="Q164:Q197" si="167">1-(E164-1)/3</f>
        <v>0.61111111111111094</v>
      </c>
      <c r="R164" s="15">
        <v>49</v>
      </c>
      <c r="S164" s="15">
        <v>0.34200000000000003</v>
      </c>
      <c r="T164" s="15">
        <f>(R164/100+S164)/2</f>
        <v>0.41600000000000004</v>
      </c>
      <c r="U164" s="15">
        <v>0.78500000000000003</v>
      </c>
      <c r="V164" s="15">
        <v>0.2</v>
      </c>
      <c r="W164" s="15">
        <f t="shared" si="161"/>
        <v>0.44033333333333341</v>
      </c>
      <c r="X164" s="15" t="s">
        <v>225</v>
      </c>
      <c r="Y164" s="15">
        <v>0.1</v>
      </c>
      <c r="Z164" s="25">
        <f t="shared" si="150"/>
        <v>1.7939608235748061</v>
      </c>
      <c r="AA164" s="15">
        <v>8.9</v>
      </c>
      <c r="AB164" s="15">
        <v>4.2</v>
      </c>
      <c r="AC164" s="15">
        <v>21</v>
      </c>
      <c r="AD164" s="75"/>
      <c r="AE164" s="15">
        <v>6.64</v>
      </c>
      <c r="AF164" s="131">
        <f t="shared" ref="AF164:AF197" si="168">Z164/O164</f>
        <v>3.3081521707088168E-2</v>
      </c>
      <c r="AG164" s="49">
        <v>1</v>
      </c>
      <c r="AH164" s="49">
        <v>16</v>
      </c>
      <c r="AI164" s="57">
        <f t="shared" ref="AI164:AI197" si="169">P164*S164</f>
        <v>1.65864856822035E-2</v>
      </c>
      <c r="AJ164" s="57">
        <f t="shared" ref="AJ164:AJ197" si="170">P164*P164</f>
        <v>2.3521041285005785E-3</v>
      </c>
      <c r="AK164" s="57">
        <f t="shared" ref="AK164:AK197" si="171">S164*S164</f>
        <v>0.11696400000000001</v>
      </c>
      <c r="AL164" s="53">
        <f t="shared" ref="AL164:AL197" si="172">AE164*P164</f>
        <v>0.32203001441471119</v>
      </c>
      <c r="AM164" s="53">
        <f t="shared" ref="AM164:AM197" si="173">AE164^2</f>
        <v>44.089599999999997</v>
      </c>
      <c r="AN164" s="80">
        <f t="shared" ref="AN164:AN197" si="174">P164*E164</f>
        <v>0.10508007498472004</v>
      </c>
      <c r="AO164" s="80">
        <f t="shared" ref="AO164:AO197" si="175">E164^2</f>
        <v>4.6944444444444455</v>
      </c>
      <c r="AP164" s="145">
        <f t="shared" ref="AP164:AP197" si="176">Z164*P164</f>
        <v>8.7004402089641872E-2</v>
      </c>
      <c r="AQ164" s="145">
        <f t="shared" ref="AQ164:AQ197" si="177">Z164*Z164</f>
        <v>3.2182954365211969</v>
      </c>
      <c r="AR164" s="100">
        <f t="shared" ref="AR164:AR197" si="178">AC164*P164</f>
        <v>1.0184684190826709</v>
      </c>
      <c r="AS164" s="100">
        <f t="shared" ref="AS164:AS197" si="179">AC164^2</f>
        <v>441</v>
      </c>
      <c r="AT164" s="25">
        <f t="shared" ref="AT164:AT197" si="180">H164*P164</f>
        <v>6.253137434521483E-2</v>
      </c>
      <c r="AU164" s="25">
        <f t="shared" ref="AU164:AU197" si="181">H164^2</f>
        <v>1.6624148268444443</v>
      </c>
      <c r="AV164" s="53">
        <f>AA164*P164</f>
        <v>0.43163661570646533</v>
      </c>
      <c r="AW164" s="53">
        <f>AA164^2</f>
        <v>79.210000000000008</v>
      </c>
      <c r="AX164" s="100">
        <f>P164*R164</f>
        <v>2.3764263111928989</v>
      </c>
      <c r="AY164" s="100">
        <f>R164*R164</f>
        <v>2401</v>
      </c>
    </row>
    <row r="165" spans="1:96" s="13" customFormat="1" ht="14">
      <c r="A165" s="16" t="s">
        <v>190</v>
      </c>
      <c r="B165" s="14">
        <v>1</v>
      </c>
      <c r="C165" s="14">
        <v>1</v>
      </c>
      <c r="D165" s="22" t="s">
        <v>8</v>
      </c>
      <c r="E165" s="15">
        <f t="shared" si="162"/>
        <v>1</v>
      </c>
      <c r="F165" s="15"/>
      <c r="G165" s="25">
        <f t="shared" si="151"/>
        <v>-1</v>
      </c>
      <c r="H165" s="15">
        <v>0.67</v>
      </c>
      <c r="I165" s="15">
        <v>0.67</v>
      </c>
      <c r="J165" s="25">
        <f t="shared" si="163"/>
        <v>0.19000000000000006</v>
      </c>
      <c r="K165" s="57">
        <f t="shared" si="164"/>
        <v>0.25333333333333341</v>
      </c>
      <c r="L165" s="15">
        <v>0.03</v>
      </c>
      <c r="M165" s="15">
        <v>0.2</v>
      </c>
      <c r="N165" s="70">
        <f t="shared" si="165"/>
        <v>0.10089552238805971</v>
      </c>
      <c r="O165" s="53">
        <f t="shared" ref="O165:O196" si="182">EXP(E165*(H165+K165+N165))</f>
        <v>2.7849470363265003</v>
      </c>
      <c r="P165" s="25">
        <f t="shared" si="166"/>
        <v>0.94436266316544237</v>
      </c>
      <c r="Q165" s="15">
        <f t="shared" si="167"/>
        <v>1</v>
      </c>
      <c r="R165" s="15"/>
      <c r="S165" s="109">
        <v>0.15</v>
      </c>
      <c r="T165" s="70">
        <f>S165</f>
        <v>0.15</v>
      </c>
      <c r="U165" s="15">
        <v>2</v>
      </c>
      <c r="V165" s="15"/>
      <c r="W165" s="15">
        <f t="shared" si="161"/>
        <v>0.73</v>
      </c>
      <c r="X165" s="15" t="s">
        <v>223</v>
      </c>
      <c r="Y165" s="15">
        <v>0.1</v>
      </c>
      <c r="Z165" s="25">
        <f t="shared" ref="Z165:Z196" si="183">EXP(Q165*(Y165+W165+T165))</f>
        <v>2.6644562419294169</v>
      </c>
      <c r="AA165" s="15"/>
      <c r="AB165" s="15"/>
      <c r="AC165" s="15">
        <v>0.05</v>
      </c>
      <c r="AD165" s="75"/>
      <c r="AE165" s="108">
        <v>8.1</v>
      </c>
      <c r="AF165" s="131">
        <f t="shared" si="168"/>
        <v>0.95673497814306108</v>
      </c>
      <c r="AG165" s="15"/>
      <c r="AH165" s="15">
        <v>34</v>
      </c>
      <c r="AI165" s="57">
        <f t="shared" si="169"/>
        <v>0.14165439947481634</v>
      </c>
      <c r="AJ165" s="57">
        <f t="shared" si="170"/>
        <v>0.89182083958092673</v>
      </c>
      <c r="AK165" s="57">
        <f t="shared" si="171"/>
        <v>2.2499999999999999E-2</v>
      </c>
      <c r="AL165" s="53">
        <f t="shared" si="172"/>
        <v>7.6493375716400829</v>
      </c>
      <c r="AM165" s="53">
        <f t="shared" si="173"/>
        <v>65.61</v>
      </c>
      <c r="AN165" s="80">
        <f t="shared" si="174"/>
        <v>0.94436266316544237</v>
      </c>
      <c r="AO165" s="80">
        <f t="shared" si="175"/>
        <v>1</v>
      </c>
      <c r="AP165" s="145">
        <f t="shared" si="176"/>
        <v>2.5162129925162504</v>
      </c>
      <c r="AQ165" s="145">
        <f t="shared" si="177"/>
        <v>7.0993270651566309</v>
      </c>
      <c r="AR165" s="100">
        <f t="shared" si="178"/>
        <v>4.721813315827212E-2</v>
      </c>
      <c r="AS165" s="100">
        <f t="shared" si="179"/>
        <v>2.5000000000000005E-3</v>
      </c>
      <c r="AT165" s="25">
        <f t="shared" si="180"/>
        <v>0.63272298432084639</v>
      </c>
      <c r="AU165" s="25">
        <f t="shared" si="181"/>
        <v>0.44890000000000008</v>
      </c>
      <c r="AV165" s="53"/>
      <c r="AW165" s="53"/>
      <c r="AX165" s="100"/>
      <c r="AY165" s="100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5"/>
      <c r="BS165" s="15"/>
      <c r="BT165" s="15"/>
      <c r="BU165" s="15"/>
      <c r="BV165" s="15"/>
      <c r="BW165" s="15"/>
      <c r="BX165" s="15"/>
      <c r="BY165" s="15"/>
      <c r="BZ165" s="15"/>
      <c r="CA165" s="15"/>
      <c r="CB165" s="15"/>
      <c r="CC165" s="15"/>
      <c r="CD165" s="15"/>
      <c r="CE165" s="15"/>
      <c r="CF165" s="15"/>
      <c r="CG165" s="15"/>
      <c r="CH165" s="15"/>
      <c r="CI165" s="15"/>
      <c r="CJ165" s="15"/>
      <c r="CK165" s="15"/>
      <c r="CL165" s="15"/>
      <c r="CM165" s="15"/>
      <c r="CN165" s="15"/>
      <c r="CO165" s="15"/>
      <c r="CP165" s="15"/>
      <c r="CQ165" s="15"/>
      <c r="CR165" s="15"/>
    </row>
    <row r="166" spans="1:96" s="13" customFormat="1" ht="14">
      <c r="A166" s="16" t="s">
        <v>159</v>
      </c>
      <c r="B166" s="14">
        <v>1</v>
      </c>
      <c r="C166" s="14">
        <v>1</v>
      </c>
      <c r="D166" s="22" t="s">
        <v>8</v>
      </c>
      <c r="E166" s="15">
        <f t="shared" si="162"/>
        <v>1</v>
      </c>
      <c r="F166" s="15"/>
      <c r="G166" s="25">
        <f t="shared" si="151"/>
        <v>-1</v>
      </c>
      <c r="H166" s="15">
        <v>0.67</v>
      </c>
      <c r="I166" s="15">
        <v>0.67</v>
      </c>
      <c r="J166" s="25">
        <f t="shared" si="163"/>
        <v>0.19000000000000006</v>
      </c>
      <c r="K166" s="57">
        <f t="shared" si="164"/>
        <v>0.25333333333333341</v>
      </c>
      <c r="L166" s="15">
        <v>0.04</v>
      </c>
      <c r="M166" s="15">
        <v>0.2</v>
      </c>
      <c r="N166" s="70">
        <f t="shared" si="165"/>
        <v>0.10119402985074627</v>
      </c>
      <c r="O166" s="53">
        <f t="shared" si="182"/>
        <v>2.7857784878911049</v>
      </c>
      <c r="P166" s="25">
        <f t="shared" si="166"/>
        <v>0.94408080593334154</v>
      </c>
      <c r="Q166" s="15">
        <f t="shared" si="167"/>
        <v>1</v>
      </c>
      <c r="R166" s="15"/>
      <c r="S166" s="109">
        <v>0.15</v>
      </c>
      <c r="T166" s="70">
        <f>S166</f>
        <v>0.15</v>
      </c>
      <c r="U166" s="15">
        <v>0.77</v>
      </c>
      <c r="V166" s="15"/>
      <c r="W166" s="15">
        <f t="shared" si="161"/>
        <v>0.32</v>
      </c>
      <c r="X166" s="15" t="s">
        <v>223</v>
      </c>
      <c r="Y166" s="15">
        <v>0.1</v>
      </c>
      <c r="Z166" s="25">
        <f t="shared" si="183"/>
        <v>1.7682670514337353</v>
      </c>
      <c r="AA166" s="15"/>
      <c r="AB166" s="15"/>
      <c r="AC166" s="15">
        <v>0.17299999999999999</v>
      </c>
      <c r="AD166" s="75"/>
      <c r="AE166" s="108">
        <v>8.1</v>
      </c>
      <c r="AF166" s="131">
        <f t="shared" si="168"/>
        <v>0.63474790229008915</v>
      </c>
      <c r="AG166" s="15"/>
      <c r="AH166" s="15">
        <v>38</v>
      </c>
      <c r="AI166" s="57">
        <f t="shared" si="169"/>
        <v>0.14161212089000122</v>
      </c>
      <c r="AJ166" s="57">
        <f t="shared" si="170"/>
        <v>0.89128856813174773</v>
      </c>
      <c r="AK166" s="57">
        <f t="shared" si="171"/>
        <v>2.2499999999999999E-2</v>
      </c>
      <c r="AL166" s="53">
        <f t="shared" si="172"/>
        <v>7.6470545280600657</v>
      </c>
      <c r="AM166" s="53">
        <f t="shared" si="173"/>
        <v>65.61</v>
      </c>
      <c r="AN166" s="80">
        <f t="shared" si="174"/>
        <v>0.94408080593334154</v>
      </c>
      <c r="AO166" s="80">
        <f t="shared" si="175"/>
        <v>1</v>
      </c>
      <c r="AP166" s="145">
        <f t="shared" si="176"/>
        <v>1.6693869830229344</v>
      </c>
      <c r="AQ166" s="145">
        <f t="shared" si="177"/>
        <v>3.1267683651861562</v>
      </c>
      <c r="AR166" s="100">
        <f t="shared" si="178"/>
        <v>0.16332597942646807</v>
      </c>
      <c r="AS166" s="100">
        <f t="shared" si="179"/>
        <v>2.9928999999999997E-2</v>
      </c>
      <c r="AT166" s="25">
        <f t="shared" si="180"/>
        <v>0.63253413997533892</v>
      </c>
      <c r="AU166" s="25">
        <f t="shared" si="181"/>
        <v>0.44890000000000008</v>
      </c>
      <c r="AV166" s="53"/>
      <c r="AW166" s="53"/>
      <c r="AX166" s="100"/>
      <c r="AY166" s="100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5"/>
      <c r="BS166" s="15"/>
      <c r="BT166" s="15"/>
      <c r="BU166" s="15"/>
      <c r="BV166" s="15"/>
      <c r="BW166" s="15"/>
      <c r="BX166" s="15"/>
      <c r="BY166" s="15"/>
      <c r="BZ166" s="15"/>
      <c r="CA166" s="15"/>
      <c r="CB166" s="15"/>
      <c r="CC166" s="15"/>
      <c r="CD166" s="15"/>
      <c r="CE166" s="15"/>
      <c r="CF166" s="15"/>
      <c r="CG166" s="15"/>
      <c r="CH166" s="15"/>
      <c r="CI166" s="15"/>
      <c r="CJ166" s="15"/>
      <c r="CK166" s="15"/>
      <c r="CL166" s="15"/>
      <c r="CM166" s="15"/>
      <c r="CN166" s="15"/>
      <c r="CO166" s="15"/>
      <c r="CP166" s="15"/>
      <c r="CQ166" s="15"/>
      <c r="CR166" s="15"/>
    </row>
    <row r="167" spans="1:96" s="13" customFormat="1" ht="14">
      <c r="A167" s="16" t="s">
        <v>191</v>
      </c>
      <c r="B167" s="14">
        <v>1</v>
      </c>
      <c r="C167" s="14">
        <v>1</v>
      </c>
      <c r="D167" s="22" t="s">
        <v>8</v>
      </c>
      <c r="E167" s="15">
        <f t="shared" si="162"/>
        <v>1</v>
      </c>
      <c r="F167" s="15"/>
      <c r="G167" s="25">
        <f t="shared" ref="G167:G197" si="184">1.153*F167/15-1</f>
        <v>-1</v>
      </c>
      <c r="H167" s="15">
        <v>0.67</v>
      </c>
      <c r="I167" s="15">
        <v>0.67</v>
      </c>
      <c r="J167" s="25">
        <f t="shared" si="163"/>
        <v>0.19000000000000006</v>
      </c>
      <c r="K167" s="57">
        <f t="shared" si="164"/>
        <v>0.25333333333333341</v>
      </c>
      <c r="L167" s="15">
        <v>0.03</v>
      </c>
      <c r="M167" s="15">
        <v>0.2</v>
      </c>
      <c r="N167" s="70">
        <f t="shared" si="165"/>
        <v>0.10089552238805971</v>
      </c>
      <c r="O167" s="53">
        <f t="shared" si="182"/>
        <v>2.7849470363265003</v>
      </c>
      <c r="P167" s="25">
        <f t="shared" si="166"/>
        <v>0.94436266316544237</v>
      </c>
      <c r="Q167" s="15">
        <f t="shared" si="167"/>
        <v>1</v>
      </c>
      <c r="R167" s="15"/>
      <c r="S167" s="109">
        <v>0.15</v>
      </c>
      <c r="T167" s="70">
        <f>S167</f>
        <v>0.15</v>
      </c>
      <c r="U167" s="15">
        <v>0.9</v>
      </c>
      <c r="V167" s="15"/>
      <c r="W167" s="15">
        <f t="shared" si="161"/>
        <v>0.36333333333333334</v>
      </c>
      <c r="X167" s="15" t="s">
        <v>223</v>
      </c>
      <c r="Y167" s="15">
        <v>0.1</v>
      </c>
      <c r="Z167" s="25">
        <f t="shared" si="183"/>
        <v>1.846576406099953</v>
      </c>
      <c r="AA167" s="15"/>
      <c r="AB167" s="15"/>
      <c r="AC167" s="15">
        <v>0.12</v>
      </c>
      <c r="AD167" s="75"/>
      <c r="AE167" s="108">
        <v>8.1</v>
      </c>
      <c r="AF167" s="131">
        <f t="shared" si="168"/>
        <v>0.66305620251065522</v>
      </c>
      <c r="AG167" s="57"/>
      <c r="AH167" s="70">
        <v>34</v>
      </c>
      <c r="AI167" s="57">
        <f t="shared" si="169"/>
        <v>0.14165439947481634</v>
      </c>
      <c r="AJ167" s="57">
        <f t="shared" si="170"/>
        <v>0.89182083958092673</v>
      </c>
      <c r="AK167" s="57">
        <f t="shared" si="171"/>
        <v>2.2499999999999999E-2</v>
      </c>
      <c r="AL167" s="53">
        <f t="shared" si="172"/>
        <v>7.6493375716400829</v>
      </c>
      <c r="AM167" s="53">
        <f t="shared" si="173"/>
        <v>65.61</v>
      </c>
      <c r="AN167" s="80">
        <f t="shared" si="174"/>
        <v>0.94436266316544237</v>
      </c>
      <c r="AO167" s="80">
        <f t="shared" si="175"/>
        <v>1</v>
      </c>
      <c r="AP167" s="145">
        <f t="shared" si="176"/>
        <v>1.743837812603023</v>
      </c>
      <c r="AQ167" s="145">
        <f t="shared" si="177"/>
        <v>3.4098444235650187</v>
      </c>
      <c r="AR167" s="100">
        <f t="shared" si="178"/>
        <v>0.11332351957985308</v>
      </c>
      <c r="AS167" s="100">
        <f t="shared" si="179"/>
        <v>1.44E-2</v>
      </c>
      <c r="AT167" s="25">
        <f t="shared" si="180"/>
        <v>0.63272298432084639</v>
      </c>
      <c r="AU167" s="25">
        <f t="shared" si="181"/>
        <v>0.44890000000000008</v>
      </c>
      <c r="AV167" s="53"/>
      <c r="AW167" s="53"/>
      <c r="AX167" s="100"/>
      <c r="AY167" s="100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/>
      <c r="BT167" s="15"/>
      <c r="BU167" s="15"/>
      <c r="BV167" s="15"/>
      <c r="BW167" s="15"/>
      <c r="BX167" s="15"/>
      <c r="BY167" s="15"/>
      <c r="BZ167" s="15"/>
      <c r="CA167" s="15"/>
      <c r="CB167" s="15"/>
      <c r="CC167" s="15"/>
      <c r="CD167" s="15"/>
      <c r="CE167" s="15"/>
      <c r="CF167" s="15"/>
      <c r="CG167" s="15"/>
      <c r="CH167" s="15"/>
      <c r="CI167" s="15"/>
      <c r="CJ167" s="15"/>
      <c r="CK167" s="15"/>
      <c r="CL167" s="15"/>
      <c r="CM167" s="15"/>
      <c r="CN167" s="15"/>
      <c r="CO167" s="15"/>
      <c r="CP167" s="15"/>
      <c r="CQ167" s="15"/>
      <c r="CR167" s="15"/>
    </row>
    <row r="168" spans="1:96" s="79" customFormat="1" ht="14">
      <c r="A168" s="119" t="s">
        <v>160</v>
      </c>
      <c r="B168" s="120">
        <v>7</v>
      </c>
      <c r="C168" s="120">
        <v>7</v>
      </c>
      <c r="D168" s="121" t="s">
        <v>4</v>
      </c>
      <c r="E168" s="122">
        <f t="shared" si="162"/>
        <v>3</v>
      </c>
      <c r="F168" s="122"/>
      <c r="G168" s="122">
        <f t="shared" si="184"/>
        <v>-1</v>
      </c>
      <c r="H168" s="122">
        <v>0.75</v>
      </c>
      <c r="I168" s="122">
        <v>0.75</v>
      </c>
      <c r="J168" s="122">
        <f t="shared" si="163"/>
        <v>0.75800000000000001</v>
      </c>
      <c r="K168" s="122">
        <f t="shared" si="164"/>
        <v>1.0106666666666666</v>
      </c>
      <c r="L168" s="122">
        <v>0.1</v>
      </c>
      <c r="M168" s="122">
        <v>0.2</v>
      </c>
      <c r="N168" s="122">
        <f t="shared" si="165"/>
        <v>0.10298507462686568</v>
      </c>
      <c r="O168" s="122">
        <f t="shared" si="182"/>
        <v>267.99148935822575</v>
      </c>
      <c r="P168" s="122">
        <f t="shared" si="166"/>
        <v>9.8137444823274359E-3</v>
      </c>
      <c r="Q168" s="122">
        <f t="shared" si="167"/>
        <v>0.33333333333333337</v>
      </c>
      <c r="R168" s="122"/>
      <c r="S168" s="122">
        <v>0.621</v>
      </c>
      <c r="T168" s="70">
        <f>S168</f>
        <v>0.621</v>
      </c>
      <c r="U168" s="122">
        <v>1.008</v>
      </c>
      <c r="V168" s="122">
        <v>1.02</v>
      </c>
      <c r="W168" s="122">
        <f t="shared" si="161"/>
        <v>0.92866666666666664</v>
      </c>
      <c r="X168" s="122">
        <f>-61/142</f>
        <v>-0.42957746478873238</v>
      </c>
      <c r="Y168" s="122">
        <f>X168+1</f>
        <v>0.57042253521126762</v>
      </c>
      <c r="Z168" s="122">
        <f t="shared" si="183"/>
        <v>2.027282853440703</v>
      </c>
      <c r="AA168" s="122">
        <v>40</v>
      </c>
      <c r="AB168" s="122">
        <v>18.7</v>
      </c>
      <c r="AC168" s="122">
        <v>32</v>
      </c>
      <c r="AD168" s="122"/>
      <c r="AE168" s="122">
        <v>2.42</v>
      </c>
      <c r="AF168" s="131">
        <f t="shared" si="168"/>
        <v>7.5647284855782215E-3</v>
      </c>
      <c r="AG168" s="122">
        <v>1</v>
      </c>
      <c r="AH168" s="122">
        <v>58</v>
      </c>
      <c r="AI168" s="57">
        <f t="shared" si="169"/>
        <v>6.0943353235253378E-3</v>
      </c>
      <c r="AJ168" s="57">
        <f t="shared" si="170"/>
        <v>9.630958076441219E-5</v>
      </c>
      <c r="AK168" s="57">
        <f t="shared" si="171"/>
        <v>0.38564100000000001</v>
      </c>
      <c r="AL168" s="53">
        <f t="shared" si="172"/>
        <v>2.3749261647232393E-2</v>
      </c>
      <c r="AM168" s="53">
        <f t="shared" si="173"/>
        <v>5.8563999999999998</v>
      </c>
      <c r="AN168" s="80">
        <f t="shared" si="174"/>
        <v>2.9441233446982309E-2</v>
      </c>
      <c r="AO168" s="80">
        <f t="shared" si="175"/>
        <v>9</v>
      </c>
      <c r="AP168" s="145">
        <f t="shared" si="176"/>
        <v>1.9895235917070719E-2</v>
      </c>
      <c r="AQ168" s="145">
        <f t="shared" si="177"/>
        <v>4.1098757678546791</v>
      </c>
      <c r="AR168" s="100">
        <f t="shared" si="178"/>
        <v>0.31403982343447795</v>
      </c>
      <c r="AS168" s="100">
        <f t="shared" si="179"/>
        <v>1024</v>
      </c>
      <c r="AT168" s="25">
        <f t="shared" si="180"/>
        <v>7.3603083617455774E-3</v>
      </c>
      <c r="AU168" s="25">
        <f t="shared" si="181"/>
        <v>0.5625</v>
      </c>
      <c r="AV168" s="53">
        <f>AA168*P168</f>
        <v>0.39254977929309742</v>
      </c>
      <c r="AW168" s="53">
        <f>AA168^2</f>
        <v>1600</v>
      </c>
      <c r="AX168" s="100"/>
      <c r="AY168" s="100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/>
      <c r="BV168" s="15"/>
      <c r="BW168" s="15"/>
      <c r="BX168" s="15"/>
      <c r="BY168" s="15"/>
      <c r="BZ168" s="15"/>
      <c r="CA168" s="15"/>
      <c r="CB168" s="15"/>
      <c r="CC168" s="15"/>
      <c r="CD168" s="15"/>
      <c r="CE168" s="15"/>
      <c r="CF168" s="15"/>
      <c r="CG168" s="15"/>
      <c r="CH168" s="15"/>
      <c r="CI168" s="15"/>
      <c r="CJ168" s="15"/>
      <c r="CK168" s="15"/>
      <c r="CL168" s="15"/>
      <c r="CM168" s="15"/>
      <c r="CN168" s="15"/>
      <c r="CO168" s="15"/>
      <c r="CP168" s="15"/>
      <c r="CQ168" s="15"/>
      <c r="CR168" s="15"/>
    </row>
    <row r="169" spans="1:96" s="13" customFormat="1" ht="14">
      <c r="A169" s="16" t="s">
        <v>161</v>
      </c>
      <c r="B169" s="14">
        <v>2</v>
      </c>
      <c r="C169" s="14">
        <v>2</v>
      </c>
      <c r="D169" s="22" t="s">
        <v>8</v>
      </c>
      <c r="E169" s="15">
        <f t="shared" si="162"/>
        <v>1.3333333333333333</v>
      </c>
      <c r="F169" s="15"/>
      <c r="G169" s="25">
        <f t="shared" si="184"/>
        <v>-1</v>
      </c>
      <c r="H169" s="15">
        <v>0.75</v>
      </c>
      <c r="I169" s="15">
        <v>0.75</v>
      </c>
      <c r="J169" s="25">
        <f t="shared" si="163"/>
        <v>0.33499999999999996</v>
      </c>
      <c r="K169" s="57">
        <f t="shared" si="164"/>
        <v>0.4466666666666666</v>
      </c>
      <c r="L169" s="15">
        <v>7.0000000000000007E-2</v>
      </c>
      <c r="M169" s="15">
        <v>0.2</v>
      </c>
      <c r="N169" s="70">
        <f t="shared" si="165"/>
        <v>0.10208955223880598</v>
      </c>
      <c r="O169" s="53">
        <f t="shared" si="182"/>
        <v>5.6501096866745755</v>
      </c>
      <c r="P169" s="25">
        <f t="shared" si="166"/>
        <v>0.46547768907968062</v>
      </c>
      <c r="Q169" s="15">
        <f t="shared" si="167"/>
        <v>0.88888888888888895</v>
      </c>
      <c r="R169" s="15"/>
      <c r="S169" s="15">
        <v>0.35599999999999998</v>
      </c>
      <c r="T169" s="70">
        <f>S169</f>
        <v>0.35599999999999998</v>
      </c>
      <c r="U169" s="15"/>
      <c r="V169" s="15">
        <v>0.5</v>
      </c>
      <c r="W169" s="25">
        <f>(V169+K169)/2</f>
        <v>0.47333333333333327</v>
      </c>
      <c r="X169" s="15" t="s">
        <v>225</v>
      </c>
      <c r="Y169" s="15">
        <v>0.1</v>
      </c>
      <c r="Z169" s="25">
        <f t="shared" si="183"/>
        <v>2.2843329909997325</v>
      </c>
      <c r="AA169" s="15">
        <v>70</v>
      </c>
      <c r="AB169" s="15">
        <v>9.5</v>
      </c>
      <c r="AC169" s="15">
        <v>0.52900000000000003</v>
      </c>
      <c r="AD169" s="75"/>
      <c r="AE169" s="15">
        <v>6.65</v>
      </c>
      <c r="AF169" s="131">
        <f t="shared" si="168"/>
        <v>0.40429887518594315</v>
      </c>
      <c r="AG169" s="99">
        <v>1</v>
      </c>
      <c r="AH169" s="99">
        <v>39</v>
      </c>
      <c r="AI169" s="57">
        <f t="shared" si="169"/>
        <v>0.16571005731236629</v>
      </c>
      <c r="AJ169" s="57">
        <f t="shared" si="170"/>
        <v>0.21666947903095982</v>
      </c>
      <c r="AK169" s="57">
        <f t="shared" si="171"/>
        <v>0.12673599999999999</v>
      </c>
      <c r="AL169" s="53">
        <f t="shared" si="172"/>
        <v>3.0954266323798763</v>
      </c>
      <c r="AM169" s="53">
        <f t="shared" si="173"/>
        <v>44.222500000000004</v>
      </c>
      <c r="AN169" s="80">
        <f t="shared" si="174"/>
        <v>0.6206369187729075</v>
      </c>
      <c r="AO169" s="80">
        <f t="shared" si="175"/>
        <v>1.7777777777777777</v>
      </c>
      <c r="AP169" s="145">
        <f t="shared" si="176"/>
        <v>1.0633060417390303</v>
      </c>
      <c r="AQ169" s="145">
        <f t="shared" si="177"/>
        <v>5.2181772137697839</v>
      </c>
      <c r="AR169" s="100">
        <f t="shared" si="178"/>
        <v>0.24623769752315106</v>
      </c>
      <c r="AS169" s="100">
        <f t="shared" si="179"/>
        <v>0.27984100000000001</v>
      </c>
      <c r="AT169" s="25">
        <f t="shared" si="180"/>
        <v>0.34910826680976048</v>
      </c>
      <c r="AU169" s="25">
        <f t="shared" si="181"/>
        <v>0.5625</v>
      </c>
      <c r="AV169" s="53">
        <f>AA169*P169</f>
        <v>32.583438235577646</v>
      </c>
      <c r="AW169" s="53">
        <f>AA169^2</f>
        <v>4900</v>
      </c>
      <c r="AX169" s="158"/>
      <c r="AY169" s="158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  <c r="BX169" s="15"/>
      <c r="BY169" s="15"/>
      <c r="BZ169" s="15"/>
      <c r="CA169" s="15"/>
      <c r="CB169" s="15"/>
      <c r="CC169" s="15"/>
      <c r="CD169" s="15"/>
      <c r="CE169" s="15"/>
      <c r="CF169" s="15"/>
      <c r="CG169" s="15"/>
      <c r="CH169" s="15"/>
      <c r="CI169" s="15"/>
      <c r="CJ169" s="15"/>
      <c r="CK169" s="15"/>
      <c r="CL169" s="15"/>
      <c r="CM169" s="15"/>
      <c r="CN169" s="15"/>
      <c r="CO169" s="15"/>
      <c r="CP169" s="15"/>
      <c r="CQ169" s="15"/>
      <c r="CR169" s="15"/>
    </row>
    <row r="170" spans="1:96" s="122" customFormat="1" ht="14">
      <c r="A170" s="16" t="s">
        <v>162</v>
      </c>
      <c r="B170" s="14">
        <v>7</v>
      </c>
      <c r="C170" s="14">
        <v>5</v>
      </c>
      <c r="D170" s="22" t="s">
        <v>4</v>
      </c>
      <c r="E170" s="15">
        <f t="shared" si="162"/>
        <v>2.666666666666667</v>
      </c>
      <c r="F170" s="15">
        <v>40.700000000000003</v>
      </c>
      <c r="G170" s="25">
        <f t="shared" si="184"/>
        <v>2.1284733333333334</v>
      </c>
      <c r="H170" s="15">
        <f>(G170+I170)/2</f>
        <v>1.4392366666666667</v>
      </c>
      <c r="I170" s="15">
        <v>0.75</v>
      </c>
      <c r="J170" s="25">
        <f t="shared" si="163"/>
        <v>0.71</v>
      </c>
      <c r="K170" s="57">
        <f t="shared" si="164"/>
        <v>0.94666666666666666</v>
      </c>
      <c r="L170" s="15">
        <v>0.04</v>
      </c>
      <c r="M170" s="15">
        <v>0.2</v>
      </c>
      <c r="N170" s="70">
        <f t="shared" si="165"/>
        <v>0.10119402985074627</v>
      </c>
      <c r="O170" s="53">
        <f t="shared" si="182"/>
        <v>759.19573927665601</v>
      </c>
      <c r="P170" s="25">
        <f t="shared" si="166"/>
        <v>3.4641922549589156E-3</v>
      </c>
      <c r="Q170" s="15">
        <f t="shared" si="167"/>
        <v>0.44444444444444431</v>
      </c>
      <c r="R170" s="15">
        <v>49</v>
      </c>
      <c r="S170" s="15">
        <v>0.502</v>
      </c>
      <c r="T170" s="15">
        <f>(R170/100+S170)/2</f>
        <v>0.496</v>
      </c>
      <c r="U170" s="15"/>
      <c r="V170" s="15">
        <v>1.21</v>
      </c>
      <c r="W170" s="25">
        <f>(V170+K170)/2</f>
        <v>1.0783333333333334</v>
      </c>
      <c r="X170" s="15">
        <f>4/111</f>
        <v>3.6036036036036036E-2</v>
      </c>
      <c r="Y170" s="15">
        <f>X170</f>
        <v>3.6036036036036036E-2</v>
      </c>
      <c r="Z170" s="25">
        <f t="shared" si="183"/>
        <v>2.0456584532923534</v>
      </c>
      <c r="AA170" s="15">
        <v>69</v>
      </c>
      <c r="AB170" s="15">
        <v>40</v>
      </c>
      <c r="AC170" s="15">
        <v>1.2</v>
      </c>
      <c r="AD170" s="75"/>
      <c r="AE170" s="15">
        <v>2.9</v>
      </c>
      <c r="AF170" s="131">
        <f t="shared" si="168"/>
        <v>2.6945072890443367E-3</v>
      </c>
      <c r="AG170" s="15">
        <v>1</v>
      </c>
      <c r="AH170" s="15">
        <v>58</v>
      </c>
      <c r="AI170" s="57">
        <f t="shared" si="169"/>
        <v>1.7390245119893756E-3</v>
      </c>
      <c r="AJ170" s="57">
        <f t="shared" si="170"/>
        <v>1.2000627979317336E-5</v>
      </c>
      <c r="AK170" s="57">
        <f t="shared" si="171"/>
        <v>0.25200400000000001</v>
      </c>
      <c r="AL170" s="53">
        <f t="shared" si="172"/>
        <v>1.0046157539380854E-2</v>
      </c>
      <c r="AM170" s="53">
        <f t="shared" si="173"/>
        <v>8.41</v>
      </c>
      <c r="AN170" s="80">
        <f t="shared" si="174"/>
        <v>9.2378460132237755E-3</v>
      </c>
      <c r="AO170" s="80">
        <f t="shared" si="175"/>
        <v>7.1111111111111125</v>
      </c>
      <c r="AP170" s="145">
        <f t="shared" si="176"/>
        <v>7.0865541701866054E-3</v>
      </c>
      <c r="AQ170" s="145">
        <f t="shared" si="177"/>
        <v>4.1847185075264637</v>
      </c>
      <c r="AR170" s="100">
        <f t="shared" si="178"/>
        <v>4.1570307059506989E-3</v>
      </c>
      <c r="AS170" s="100">
        <f t="shared" si="179"/>
        <v>1.44</v>
      </c>
      <c r="AT170" s="25">
        <f t="shared" si="180"/>
        <v>4.9857925137195532E-3</v>
      </c>
      <c r="AU170" s="25">
        <f t="shared" si="181"/>
        <v>2.0714021826777778</v>
      </c>
      <c r="AV170" s="53">
        <f>AA170*P170</f>
        <v>0.23902926559216517</v>
      </c>
      <c r="AW170" s="53">
        <f>AA170^2</f>
        <v>4761</v>
      </c>
      <c r="AX170" s="100">
        <f>P170*R170</f>
        <v>0.16974542049298685</v>
      </c>
      <c r="AY170" s="100">
        <f>R170*R170</f>
        <v>2401</v>
      </c>
    </row>
    <row r="171" spans="1:96" s="13" customFormat="1" ht="14">
      <c r="A171" s="46" t="s">
        <v>163</v>
      </c>
      <c r="B171" s="47">
        <v>1</v>
      </c>
      <c r="C171" s="47">
        <v>1</v>
      </c>
      <c r="D171" s="48" t="s">
        <v>8</v>
      </c>
      <c r="E171" s="49">
        <f t="shared" si="162"/>
        <v>1</v>
      </c>
      <c r="F171" s="49">
        <v>22.3</v>
      </c>
      <c r="G171" s="49">
        <f t="shared" si="184"/>
        <v>0.71412666666666658</v>
      </c>
      <c r="H171" s="49">
        <f>(G171+I171)/2</f>
        <v>0.85706333333333329</v>
      </c>
      <c r="I171" s="49">
        <v>1</v>
      </c>
      <c r="J171" s="49">
        <f t="shared" si="163"/>
        <v>5.0000000000000044E-2</v>
      </c>
      <c r="K171" s="49">
        <f t="shared" si="164"/>
        <v>6.6666666666666721E-2</v>
      </c>
      <c r="L171" s="49">
        <v>0.98</v>
      </c>
      <c r="M171" s="49">
        <v>0.4</v>
      </c>
      <c r="N171" s="49">
        <f t="shared" si="165"/>
        <v>0.22925373134328358</v>
      </c>
      <c r="O171" s="49">
        <f t="shared" si="182"/>
        <v>3.1676301810022554</v>
      </c>
      <c r="P171" s="49">
        <f t="shared" si="166"/>
        <v>0.83027369033586285</v>
      </c>
      <c r="Q171" s="49">
        <f t="shared" si="167"/>
        <v>1</v>
      </c>
      <c r="R171" s="49">
        <v>23</v>
      </c>
      <c r="S171" s="49">
        <f>1-0.885</f>
        <v>0.11499999999999999</v>
      </c>
      <c r="T171" s="49">
        <f>(R171/100+S171)/2</f>
        <v>0.17249999999999999</v>
      </c>
      <c r="U171" s="49">
        <v>0.36799999999999999</v>
      </c>
      <c r="V171" s="49">
        <v>0.56000000000000005</v>
      </c>
      <c r="W171" s="49">
        <f>(V171+U171+J171)/3</f>
        <v>0.32600000000000001</v>
      </c>
      <c r="X171" s="49">
        <f>4/107</f>
        <v>3.7383177570093455E-2</v>
      </c>
      <c r="Y171" s="49">
        <f>X171</f>
        <v>3.7383177570093455E-2</v>
      </c>
      <c r="Z171" s="49">
        <f t="shared" si="183"/>
        <v>1.7089568883469988</v>
      </c>
      <c r="AA171" s="49" t="s">
        <v>223</v>
      </c>
      <c r="AB171" s="49">
        <v>7.6</v>
      </c>
      <c r="AC171" s="49">
        <v>9.5</v>
      </c>
      <c r="AD171" s="49"/>
      <c r="AE171" s="49">
        <v>9.5</v>
      </c>
      <c r="AF171" s="131">
        <f t="shared" si="168"/>
        <v>0.53950644194401365</v>
      </c>
      <c r="AG171" s="49">
        <v>1</v>
      </c>
      <c r="AH171" s="49">
        <v>21</v>
      </c>
      <c r="AI171" s="57">
        <f t="shared" si="169"/>
        <v>9.5481474388624227E-2</v>
      </c>
      <c r="AJ171" s="57">
        <f t="shared" si="170"/>
        <v>0.68935440086393229</v>
      </c>
      <c r="AK171" s="57">
        <f t="shared" si="171"/>
        <v>1.3224999999999997E-2</v>
      </c>
      <c r="AL171" s="53">
        <f t="shared" si="172"/>
        <v>7.8876000581906967</v>
      </c>
      <c r="AM171" s="53">
        <f t="shared" si="173"/>
        <v>90.25</v>
      </c>
      <c r="AN171" s="80">
        <f t="shared" si="174"/>
        <v>0.83027369033586285</v>
      </c>
      <c r="AO171" s="80">
        <f t="shared" si="175"/>
        <v>1</v>
      </c>
      <c r="AP171" s="145">
        <f t="shared" si="176"/>
        <v>1.4189019423127558</v>
      </c>
      <c r="AQ171" s="145">
        <f t="shared" si="177"/>
        <v>2.9205336462286566</v>
      </c>
      <c r="AR171" s="100">
        <f t="shared" si="178"/>
        <v>7.8876000581906967</v>
      </c>
      <c r="AS171" s="100">
        <f t="shared" si="179"/>
        <v>90.25</v>
      </c>
      <c r="AT171" s="25">
        <f t="shared" si="180"/>
        <v>0.71159713661822233</v>
      </c>
      <c r="AU171" s="25">
        <f t="shared" si="181"/>
        <v>0.73455755734444439</v>
      </c>
      <c r="AV171" s="53"/>
      <c r="AW171" s="53"/>
      <c r="AX171" s="100">
        <f>P171*R171</f>
        <v>19.096294877724844</v>
      </c>
      <c r="AY171" s="100">
        <f>R171*R171</f>
        <v>529</v>
      </c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/>
      <c r="BT171" s="15"/>
      <c r="BU171" s="15"/>
      <c r="BV171" s="15"/>
      <c r="BW171" s="15"/>
      <c r="BX171" s="15"/>
      <c r="BY171" s="15"/>
      <c r="BZ171" s="15"/>
      <c r="CA171" s="15"/>
      <c r="CB171" s="15"/>
      <c r="CC171" s="15"/>
      <c r="CD171" s="15"/>
      <c r="CE171" s="15"/>
      <c r="CF171" s="15"/>
      <c r="CG171" s="15"/>
      <c r="CH171" s="15"/>
      <c r="CI171" s="15"/>
      <c r="CJ171" s="15"/>
      <c r="CK171" s="15"/>
      <c r="CL171" s="15"/>
      <c r="CM171" s="15"/>
      <c r="CN171" s="15"/>
      <c r="CO171" s="15"/>
      <c r="CP171" s="15"/>
      <c r="CQ171" s="15"/>
      <c r="CR171" s="15"/>
    </row>
    <row r="172" spans="1:96" s="39" customFormat="1" ht="14">
      <c r="A172" s="67" t="s">
        <v>164</v>
      </c>
      <c r="B172" s="68">
        <v>1</v>
      </c>
      <c r="C172" s="68">
        <v>1</v>
      </c>
      <c r="D172" s="69" t="s">
        <v>8</v>
      </c>
      <c r="E172" s="70">
        <f t="shared" si="162"/>
        <v>1</v>
      </c>
      <c r="F172" s="70">
        <v>19</v>
      </c>
      <c r="G172" s="70">
        <f t="shared" si="184"/>
        <v>0.46046666666666658</v>
      </c>
      <c r="H172" s="70">
        <f>(G172+I172)/2</f>
        <v>0.60523333333333329</v>
      </c>
      <c r="I172" s="70">
        <v>0.75</v>
      </c>
      <c r="J172" s="70">
        <f t="shared" si="163"/>
        <v>9.099999999999997E-2</v>
      </c>
      <c r="K172" s="70">
        <f t="shared" si="164"/>
        <v>0.12133333333333329</v>
      </c>
      <c r="L172" s="70">
        <v>1.4</v>
      </c>
      <c r="M172" s="70">
        <v>0.4</v>
      </c>
      <c r="N172" s="70">
        <f t="shared" si="165"/>
        <v>0.2417910447761194</v>
      </c>
      <c r="O172" s="70">
        <f t="shared" si="182"/>
        <v>2.6336157488227934</v>
      </c>
      <c r="P172" s="70">
        <f t="shared" si="166"/>
        <v>0.99862707806770612</v>
      </c>
      <c r="Q172" s="70">
        <f t="shared" si="167"/>
        <v>1</v>
      </c>
      <c r="R172" s="70">
        <v>33.700000000000003</v>
      </c>
      <c r="S172" s="70">
        <v>0.126</v>
      </c>
      <c r="T172" s="70">
        <f>(R172/100+S172)/2</f>
        <v>0.23150000000000001</v>
      </c>
      <c r="U172" s="70">
        <v>0.52400000000000002</v>
      </c>
      <c r="V172" s="70">
        <f>1-0.21</f>
        <v>0.79</v>
      </c>
      <c r="W172" s="70">
        <f>(V172+U172+J172)/3</f>
        <v>0.46833333333333332</v>
      </c>
      <c r="X172" s="70">
        <f>-7/110</f>
        <v>-6.363636363636363E-2</v>
      </c>
      <c r="Y172" s="70">
        <f>X172</f>
        <v>-6.363636363636363E-2</v>
      </c>
      <c r="Z172" s="70">
        <f t="shared" si="183"/>
        <v>1.889282202121799</v>
      </c>
      <c r="AA172" s="70">
        <v>6.9</v>
      </c>
      <c r="AB172" s="70">
        <v>3.1</v>
      </c>
      <c r="AC172" s="70">
        <v>7.8</v>
      </c>
      <c r="AD172" s="70"/>
      <c r="AE172" s="70">
        <v>9.09</v>
      </c>
      <c r="AF172" s="131">
        <f t="shared" si="168"/>
        <v>0.71737200195825612</v>
      </c>
      <c r="AG172" s="70">
        <v>1</v>
      </c>
      <c r="AH172" s="70">
        <v>23</v>
      </c>
      <c r="AI172" s="57">
        <f t="shared" si="169"/>
        <v>0.12582701183653097</v>
      </c>
      <c r="AJ172" s="57">
        <f t="shared" si="170"/>
        <v>0.9972560410500444</v>
      </c>
      <c r="AK172" s="57">
        <f t="shared" si="171"/>
        <v>1.5876000000000001E-2</v>
      </c>
      <c r="AL172" s="53">
        <f t="shared" si="172"/>
        <v>9.0775201396354479</v>
      </c>
      <c r="AM172" s="53">
        <f t="shared" si="173"/>
        <v>82.628100000000003</v>
      </c>
      <c r="AN172" s="80">
        <f t="shared" si="174"/>
        <v>0.99862707806770612</v>
      </c>
      <c r="AO172" s="80">
        <f t="shared" si="175"/>
        <v>1</v>
      </c>
      <c r="AP172" s="145">
        <f t="shared" si="176"/>
        <v>1.8866883651502135</v>
      </c>
      <c r="AQ172" s="145">
        <f t="shared" si="177"/>
        <v>3.5693872392541941</v>
      </c>
      <c r="AR172" s="100">
        <f t="shared" si="178"/>
        <v>7.7892912089281072</v>
      </c>
      <c r="AS172" s="100">
        <f t="shared" si="179"/>
        <v>60.839999999999996</v>
      </c>
      <c r="AT172" s="25">
        <f t="shared" si="180"/>
        <v>0.6044023952158446</v>
      </c>
      <c r="AU172" s="25">
        <f t="shared" si="181"/>
        <v>0.36630738777777772</v>
      </c>
      <c r="AV172" s="53">
        <f t="shared" ref="AV172:AV183" si="185">AA172*P172</f>
        <v>6.8905268386671725</v>
      </c>
      <c r="AW172" s="53">
        <f t="shared" ref="AW172:AW183" si="186">AA172^2</f>
        <v>47.610000000000007</v>
      </c>
      <c r="AX172" s="100">
        <f>P172*R172</f>
        <v>33.653732530881697</v>
      </c>
      <c r="AY172" s="100">
        <f>R172*R172</f>
        <v>1135.6900000000003</v>
      </c>
      <c r="AZ172" s="15"/>
      <c r="BA172" s="15"/>
      <c r="BB172" s="15"/>
      <c r="BC172" s="15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5"/>
      <c r="BO172" s="15"/>
      <c r="BP172" s="15"/>
      <c r="BQ172" s="15"/>
      <c r="BR172" s="15"/>
      <c r="BS172" s="15"/>
      <c r="BT172" s="15"/>
      <c r="BU172" s="15"/>
      <c r="BV172" s="15"/>
      <c r="BW172" s="15"/>
      <c r="BX172" s="15"/>
      <c r="BY172" s="15"/>
      <c r="BZ172" s="15"/>
      <c r="CA172" s="15"/>
      <c r="CB172" s="15"/>
      <c r="CC172" s="15"/>
      <c r="CD172" s="15"/>
      <c r="CE172" s="15"/>
      <c r="CF172" s="15"/>
      <c r="CG172" s="15"/>
      <c r="CH172" s="15"/>
      <c r="CI172" s="15"/>
      <c r="CJ172" s="15"/>
      <c r="CK172" s="15"/>
      <c r="CL172" s="15"/>
      <c r="CM172" s="15"/>
      <c r="CN172" s="15"/>
      <c r="CO172" s="15"/>
      <c r="CP172" s="15"/>
      <c r="CQ172" s="15"/>
      <c r="CR172" s="15"/>
    </row>
    <row r="173" spans="1:96" s="45" customFormat="1" ht="14">
      <c r="A173" s="119" t="s">
        <v>165</v>
      </c>
      <c r="B173" s="120">
        <v>7</v>
      </c>
      <c r="C173" s="120">
        <v>6</v>
      </c>
      <c r="D173" s="121" t="s">
        <v>4</v>
      </c>
      <c r="E173" s="122">
        <f t="shared" si="162"/>
        <v>2.833333333333333</v>
      </c>
      <c r="F173" s="122"/>
      <c r="G173" s="122">
        <f t="shared" si="184"/>
        <v>-1</v>
      </c>
      <c r="H173" s="122">
        <v>1</v>
      </c>
      <c r="I173" s="122">
        <v>1</v>
      </c>
      <c r="J173" s="122">
        <f t="shared" si="163"/>
        <v>0.76900000000000002</v>
      </c>
      <c r="K173" s="122">
        <f t="shared" si="164"/>
        <v>1.0253333333333334</v>
      </c>
      <c r="L173" s="122">
        <v>0.15</v>
      </c>
      <c r="M173" s="122">
        <v>0.4</v>
      </c>
      <c r="N173" s="122">
        <f t="shared" si="165"/>
        <v>0.20447761194029851</v>
      </c>
      <c r="O173" s="122">
        <f t="shared" si="182"/>
        <v>554.35078831781925</v>
      </c>
      <c r="P173" s="122">
        <f t="shared" si="166"/>
        <v>4.7442883737583387E-3</v>
      </c>
      <c r="Q173" s="122">
        <f t="shared" si="167"/>
        <v>0.38888888888888895</v>
      </c>
      <c r="R173" s="122"/>
      <c r="S173" s="122">
        <v>0.41099999999999998</v>
      </c>
      <c r="T173" s="70">
        <f>S173</f>
        <v>0.41099999999999998</v>
      </c>
      <c r="U173" s="122">
        <v>0.34399999999999997</v>
      </c>
      <c r="V173" s="122">
        <v>1.2</v>
      </c>
      <c r="W173" s="122">
        <f>(V173+U173+J173)/3</f>
        <v>0.77100000000000002</v>
      </c>
      <c r="X173" s="122">
        <f>29/127</f>
        <v>0.2283464566929134</v>
      </c>
      <c r="Y173" s="122">
        <f>(X173+1)/2</f>
        <v>0.61417322834645671</v>
      </c>
      <c r="Z173" s="122">
        <f t="shared" si="183"/>
        <v>2.0107580917198251</v>
      </c>
      <c r="AA173" s="122">
        <v>11.9</v>
      </c>
      <c r="AB173" s="122">
        <v>8.1</v>
      </c>
      <c r="AC173" s="122">
        <v>21</v>
      </c>
      <c r="AD173" s="122"/>
      <c r="AE173" s="122">
        <v>2.31</v>
      </c>
      <c r="AF173" s="131">
        <f t="shared" si="168"/>
        <v>3.6272305083600268E-3</v>
      </c>
      <c r="AG173" s="122">
        <v>1</v>
      </c>
      <c r="AH173" s="122">
        <v>18</v>
      </c>
      <c r="AI173" s="57">
        <f t="shared" si="169"/>
        <v>1.9499025216146771E-3</v>
      </c>
      <c r="AJ173" s="57">
        <f t="shared" si="170"/>
        <v>2.2508272173378543E-5</v>
      </c>
      <c r="AK173" s="57">
        <f t="shared" si="171"/>
        <v>0.16892099999999999</v>
      </c>
      <c r="AL173" s="53">
        <f t="shared" si="172"/>
        <v>1.0959306143381763E-2</v>
      </c>
      <c r="AM173" s="53">
        <f t="shared" si="173"/>
        <v>5.3361000000000001</v>
      </c>
      <c r="AN173" s="80">
        <f t="shared" si="174"/>
        <v>1.3442150392315291E-2</v>
      </c>
      <c r="AO173" s="80">
        <f t="shared" si="175"/>
        <v>8.0277777777777768</v>
      </c>
      <c r="AP173" s="145">
        <f t="shared" si="176"/>
        <v>9.5396162369868701E-3</v>
      </c>
      <c r="AQ173" s="145">
        <f t="shared" si="177"/>
        <v>4.0431481034167529</v>
      </c>
      <c r="AR173" s="100">
        <f t="shared" si="178"/>
        <v>9.9630055848925106E-2</v>
      </c>
      <c r="AS173" s="100">
        <f t="shared" si="179"/>
        <v>441</v>
      </c>
      <c r="AT173" s="25">
        <f t="shared" si="180"/>
        <v>4.7442883737583387E-3</v>
      </c>
      <c r="AU173" s="25">
        <f t="shared" si="181"/>
        <v>1</v>
      </c>
      <c r="AV173" s="53">
        <f t="shared" si="185"/>
        <v>5.6457031647724233E-2</v>
      </c>
      <c r="AW173" s="53">
        <f t="shared" si="186"/>
        <v>141.61000000000001</v>
      </c>
      <c r="AX173" s="100"/>
      <c r="AY173" s="100"/>
    </row>
    <row r="174" spans="1:96" s="122" customFormat="1" ht="14">
      <c r="A174" s="26" t="s">
        <v>166</v>
      </c>
      <c r="B174" s="24">
        <v>1</v>
      </c>
      <c r="C174" s="24">
        <v>2</v>
      </c>
      <c r="D174" s="27" t="s">
        <v>8</v>
      </c>
      <c r="E174" s="25">
        <f t="shared" si="162"/>
        <v>1.1666666666666667</v>
      </c>
      <c r="F174" s="25">
        <v>40.299999999999997</v>
      </c>
      <c r="G174" s="25">
        <f t="shared" si="184"/>
        <v>2.0977266666666665</v>
      </c>
      <c r="H174" s="25">
        <f>(G174+I174)/2</f>
        <v>1.4238633333333333</v>
      </c>
      <c r="I174" s="25">
        <v>0.75</v>
      </c>
      <c r="J174" s="25">
        <f t="shared" si="163"/>
        <v>0.248</v>
      </c>
      <c r="K174" s="25">
        <f t="shared" si="164"/>
        <v>0.33066666666666666</v>
      </c>
      <c r="L174" s="25">
        <v>0.06</v>
      </c>
      <c r="M174" s="25">
        <v>0.2</v>
      </c>
      <c r="N174" s="25">
        <f t="shared" si="165"/>
        <v>0.1017910447761194</v>
      </c>
      <c r="O174" s="25">
        <f t="shared" si="182"/>
        <v>8.7207730417825733</v>
      </c>
      <c r="P174" s="25">
        <f t="shared" si="166"/>
        <v>0.30157876915260412</v>
      </c>
      <c r="Q174" s="25">
        <f t="shared" si="167"/>
        <v>0.94444444444444442</v>
      </c>
      <c r="R174" s="25">
        <v>32.6</v>
      </c>
      <c r="S174" s="110">
        <v>0.4</v>
      </c>
      <c r="T174" s="25">
        <f>(R174/100+S174)/2</f>
        <v>0.36299999999999999</v>
      </c>
      <c r="U174" s="25">
        <v>0.34899999999999998</v>
      </c>
      <c r="V174" s="25">
        <v>0.48</v>
      </c>
      <c r="W174" s="25">
        <f>(V174+U174+J174)/3</f>
        <v>0.35899999999999999</v>
      </c>
      <c r="X174" s="25">
        <f>-25/122</f>
        <v>-0.20491803278688525</v>
      </c>
      <c r="Y174" s="25">
        <f>X174</f>
        <v>-0.20491803278688525</v>
      </c>
      <c r="Z174" s="25">
        <f t="shared" si="183"/>
        <v>1.6296335787858049</v>
      </c>
      <c r="AA174" s="25">
        <v>1.1599999999999999</v>
      </c>
      <c r="AB174" s="25">
        <v>4.3</v>
      </c>
      <c r="AC174" s="25">
        <v>23</v>
      </c>
      <c r="AD174" s="25"/>
      <c r="AE174" s="25">
        <v>7.52</v>
      </c>
      <c r="AF174" s="131">
        <f t="shared" si="168"/>
        <v>0.18686801857793778</v>
      </c>
      <c r="AG174" s="25">
        <v>1</v>
      </c>
      <c r="AH174" s="15">
        <v>16</v>
      </c>
      <c r="AI174" s="57">
        <f t="shared" si="169"/>
        <v>0.12063150766104165</v>
      </c>
      <c r="AJ174" s="57">
        <f t="shared" si="170"/>
        <v>9.0949754003599684E-2</v>
      </c>
      <c r="AK174" s="57">
        <f t="shared" si="171"/>
        <v>0.16000000000000003</v>
      </c>
      <c r="AL174" s="53">
        <f t="shared" si="172"/>
        <v>2.267872344027583</v>
      </c>
      <c r="AM174" s="53">
        <f t="shared" si="173"/>
        <v>56.550399999999996</v>
      </c>
      <c r="AN174" s="80">
        <f t="shared" si="174"/>
        <v>0.35184189734470483</v>
      </c>
      <c r="AO174" s="80">
        <f t="shared" si="175"/>
        <v>1.3611111111111114</v>
      </c>
      <c r="AP174" s="145">
        <f t="shared" si="176"/>
        <v>0.49146288885997635</v>
      </c>
      <c r="AQ174" s="145">
        <f t="shared" si="177"/>
        <v>2.6557056011062303</v>
      </c>
      <c r="AR174" s="100">
        <f t="shared" si="178"/>
        <v>6.9363116905098945</v>
      </c>
      <c r="AS174" s="100">
        <f t="shared" si="179"/>
        <v>529</v>
      </c>
      <c r="AT174" s="25">
        <f t="shared" si="180"/>
        <v>0.42940695150819075</v>
      </c>
      <c r="AU174" s="25">
        <f t="shared" si="181"/>
        <v>2.0273867920111108</v>
      </c>
      <c r="AV174" s="53">
        <f t="shared" si="185"/>
        <v>0.34983137221702076</v>
      </c>
      <c r="AW174" s="53">
        <f t="shared" si="186"/>
        <v>1.3455999999999999</v>
      </c>
      <c r="AX174" s="100">
        <f>P174*R174</f>
        <v>9.8314678743748942</v>
      </c>
      <c r="AY174" s="100">
        <f>R174*R174</f>
        <v>1062.76</v>
      </c>
    </row>
    <row r="175" spans="1:96" s="105" customFormat="1" ht="14">
      <c r="A175" s="16" t="s">
        <v>167</v>
      </c>
      <c r="B175" s="14">
        <v>6</v>
      </c>
      <c r="C175" s="14">
        <v>5</v>
      </c>
      <c r="D175" s="22" t="s">
        <v>4</v>
      </c>
      <c r="E175" s="15">
        <f t="shared" si="162"/>
        <v>2.5</v>
      </c>
      <c r="F175" s="15">
        <v>25.6</v>
      </c>
      <c r="G175" s="25">
        <f t="shared" si="184"/>
        <v>0.96778666666666679</v>
      </c>
      <c r="H175" s="15">
        <f>(G175+I175)/2</f>
        <v>0.8588933333333334</v>
      </c>
      <c r="I175" s="15">
        <v>0.75</v>
      </c>
      <c r="J175" s="25">
        <f t="shared" si="163"/>
        <v>0.749</v>
      </c>
      <c r="K175" s="57">
        <f t="shared" si="164"/>
        <v>0.9986666666666667</v>
      </c>
      <c r="L175" s="15">
        <v>0.14000000000000001</v>
      </c>
      <c r="M175" s="15">
        <v>0.2</v>
      </c>
      <c r="N175" s="70">
        <f t="shared" si="165"/>
        <v>0.10417910447761194</v>
      </c>
      <c r="O175" s="53">
        <f t="shared" si="182"/>
        <v>134.87491066095134</v>
      </c>
      <c r="P175" s="25">
        <f t="shared" si="166"/>
        <v>1.9499549524160917E-2</v>
      </c>
      <c r="Q175" s="15">
        <f t="shared" si="167"/>
        <v>0.5</v>
      </c>
      <c r="R175" s="15">
        <v>32.6</v>
      </c>
      <c r="S175" s="15">
        <v>0.42</v>
      </c>
      <c r="T175" s="15">
        <f>(R175/100+S175)/2</f>
        <v>0.373</v>
      </c>
      <c r="U175" s="15"/>
      <c r="V175" s="15">
        <v>0.4</v>
      </c>
      <c r="W175" s="25">
        <f>(V175+K175)/2</f>
        <v>0.69933333333333336</v>
      </c>
      <c r="X175" s="15">
        <f>-7/138</f>
        <v>-5.0724637681159424E-2</v>
      </c>
      <c r="Y175" s="15">
        <f>X175</f>
        <v>-5.0724637681159424E-2</v>
      </c>
      <c r="Z175" s="25">
        <f t="shared" si="183"/>
        <v>1.6666312071440459</v>
      </c>
      <c r="AA175" s="15">
        <v>53</v>
      </c>
      <c r="AB175" s="15">
        <v>2.2000000000000002</v>
      </c>
      <c r="AC175" s="15">
        <v>7.6</v>
      </c>
      <c r="AD175" s="75"/>
      <c r="AE175" s="15">
        <v>2.5099999999999998</v>
      </c>
      <c r="AF175" s="131">
        <f t="shared" si="168"/>
        <v>1.2356866069284189E-2</v>
      </c>
      <c r="AG175" s="70">
        <v>1</v>
      </c>
      <c r="AH175" s="70">
        <v>16</v>
      </c>
      <c r="AI175" s="57">
        <f t="shared" si="169"/>
        <v>8.1898108001475858E-3</v>
      </c>
      <c r="AJ175" s="57">
        <f t="shared" si="170"/>
        <v>3.8023243164520427E-4</v>
      </c>
      <c r="AK175" s="57">
        <f t="shared" si="171"/>
        <v>0.17639999999999997</v>
      </c>
      <c r="AL175" s="53">
        <f t="shared" si="172"/>
        <v>4.89438693056439E-2</v>
      </c>
      <c r="AM175" s="53">
        <f t="shared" si="173"/>
        <v>6.3000999999999987</v>
      </c>
      <c r="AN175" s="80">
        <f t="shared" si="174"/>
        <v>4.8748873810402292E-2</v>
      </c>
      <c r="AO175" s="80">
        <f t="shared" si="175"/>
        <v>6.25</v>
      </c>
      <c r="AP175" s="145">
        <f t="shared" si="176"/>
        <v>3.2498557762217418E-2</v>
      </c>
      <c r="AQ175" s="145">
        <f t="shared" si="177"/>
        <v>2.7776595806264197</v>
      </c>
      <c r="AR175" s="100">
        <f t="shared" si="178"/>
        <v>0.14819657638362296</v>
      </c>
      <c r="AS175" s="100">
        <f t="shared" si="179"/>
        <v>57.76</v>
      </c>
      <c r="AT175" s="25">
        <f t="shared" si="180"/>
        <v>1.6748033089304986E-2</v>
      </c>
      <c r="AU175" s="25">
        <f t="shared" si="181"/>
        <v>0.7376977580444446</v>
      </c>
      <c r="AV175" s="53">
        <f t="shared" si="185"/>
        <v>1.0334761247805286</v>
      </c>
      <c r="AW175" s="53">
        <f t="shared" si="186"/>
        <v>2809</v>
      </c>
      <c r="AX175" s="100">
        <f>P175*R175</f>
        <v>0.63568531448764598</v>
      </c>
      <c r="AY175" s="100">
        <f>R175*R175</f>
        <v>1062.76</v>
      </c>
      <c r="AZ175" s="124"/>
      <c r="BA175" s="124"/>
      <c r="BB175" s="124"/>
      <c r="BC175" s="124"/>
      <c r="BD175" s="124"/>
      <c r="BE175" s="124"/>
      <c r="BF175" s="124"/>
      <c r="BG175" s="124"/>
      <c r="BH175" s="124"/>
      <c r="BI175" s="124"/>
      <c r="BJ175" s="124"/>
      <c r="BK175" s="124"/>
      <c r="BL175" s="124"/>
      <c r="BM175" s="124"/>
      <c r="BN175" s="124"/>
      <c r="BO175" s="124"/>
      <c r="BP175" s="124"/>
      <c r="BQ175" s="124"/>
      <c r="BR175" s="124"/>
      <c r="BS175" s="124"/>
      <c r="BT175" s="124"/>
      <c r="BU175" s="124"/>
      <c r="BV175" s="124"/>
      <c r="BW175" s="124"/>
      <c r="BX175" s="124"/>
      <c r="BY175" s="124"/>
      <c r="BZ175" s="124"/>
      <c r="CA175" s="124"/>
      <c r="CB175" s="124"/>
      <c r="CC175" s="124"/>
      <c r="CD175" s="124"/>
      <c r="CE175" s="124"/>
      <c r="CF175" s="124"/>
      <c r="CG175" s="124"/>
      <c r="CH175" s="124"/>
      <c r="CI175" s="124"/>
      <c r="CJ175" s="124"/>
      <c r="CK175" s="124"/>
      <c r="CL175" s="124"/>
      <c r="CM175" s="124"/>
      <c r="CN175" s="124"/>
      <c r="CO175" s="124"/>
      <c r="CP175" s="124"/>
      <c r="CQ175" s="124"/>
      <c r="CR175" s="124"/>
    </row>
    <row r="176" spans="1:96" s="13" customFormat="1" ht="14">
      <c r="A176" s="16" t="s">
        <v>168</v>
      </c>
      <c r="B176" s="14">
        <v>3</v>
      </c>
      <c r="C176" s="14">
        <v>3</v>
      </c>
      <c r="D176" s="22" t="s">
        <v>3</v>
      </c>
      <c r="E176" s="15">
        <f t="shared" si="162"/>
        <v>1.6666666666666665</v>
      </c>
      <c r="F176" s="15">
        <v>29.6</v>
      </c>
      <c r="G176" s="25">
        <f t="shared" si="184"/>
        <v>1.2752533333333336</v>
      </c>
      <c r="H176" s="15">
        <f>(G176+I176)/2</f>
        <v>1.0126266666666668</v>
      </c>
      <c r="I176" s="15">
        <v>0.75</v>
      </c>
      <c r="J176" s="25">
        <f t="shared" si="163"/>
        <v>0.43600000000000005</v>
      </c>
      <c r="K176" s="57">
        <f t="shared" si="164"/>
        <v>0.58133333333333337</v>
      </c>
      <c r="L176" s="15">
        <v>0.1</v>
      </c>
      <c r="M176" s="15">
        <v>0.2</v>
      </c>
      <c r="N176" s="70">
        <f t="shared" si="165"/>
        <v>0.10298507462686568</v>
      </c>
      <c r="O176" s="53">
        <f t="shared" si="182"/>
        <v>16.915693339966239</v>
      </c>
      <c r="P176" s="25">
        <f t="shared" si="166"/>
        <v>0.15547692590206585</v>
      </c>
      <c r="Q176" s="15">
        <f t="shared" si="167"/>
        <v>0.77777777777777779</v>
      </c>
      <c r="R176" s="15">
        <v>37.6</v>
      </c>
      <c r="S176" s="15">
        <v>0.60199999999999998</v>
      </c>
      <c r="T176" s="15">
        <f>(R176/100+S176)/2</f>
        <v>0.48899999999999999</v>
      </c>
      <c r="U176" s="15">
        <v>0.36899999999999999</v>
      </c>
      <c r="V176" s="15">
        <v>0.39</v>
      </c>
      <c r="W176" s="15">
        <f>(V176+U176+J176)/3</f>
        <v>0.39833333333333337</v>
      </c>
      <c r="X176" s="15">
        <f>9/139</f>
        <v>6.4748201438848921E-2</v>
      </c>
      <c r="Y176" s="15">
        <f>X176</f>
        <v>6.4748201438848921E-2</v>
      </c>
      <c r="Z176" s="25">
        <f t="shared" si="183"/>
        <v>2.0970002274376571</v>
      </c>
      <c r="AA176" s="15">
        <v>36</v>
      </c>
      <c r="AB176" s="15"/>
      <c r="AC176" s="15">
        <v>43</v>
      </c>
      <c r="AD176" s="75"/>
      <c r="AE176" s="15">
        <v>5.64</v>
      </c>
      <c r="AF176" s="131">
        <f t="shared" si="168"/>
        <v>0.12396773725396953</v>
      </c>
      <c r="AG176" s="15">
        <v>1</v>
      </c>
      <c r="AH176" s="15">
        <v>58</v>
      </c>
      <c r="AI176" s="57">
        <f t="shared" si="169"/>
        <v>9.3597109393043637E-2</v>
      </c>
      <c r="AJ176" s="57">
        <f t="shared" si="170"/>
        <v>2.4173074487956477E-2</v>
      </c>
      <c r="AK176" s="57">
        <f t="shared" si="171"/>
        <v>0.36240399999999995</v>
      </c>
      <c r="AL176" s="53">
        <f t="shared" si="172"/>
        <v>0.87688986208765141</v>
      </c>
      <c r="AM176" s="53">
        <f t="shared" si="173"/>
        <v>31.809599999999996</v>
      </c>
      <c r="AN176" s="80">
        <f t="shared" si="174"/>
        <v>0.25912820983677642</v>
      </c>
      <c r="AO176" s="80">
        <f t="shared" si="175"/>
        <v>2.7777777777777772</v>
      </c>
      <c r="AP176" s="145">
        <f t="shared" si="176"/>
        <v>0.32603514897793984</v>
      </c>
      <c r="AQ176" s="145">
        <f t="shared" si="177"/>
        <v>4.397409953873586</v>
      </c>
      <c r="AR176" s="100">
        <f t="shared" si="178"/>
        <v>6.6855078137888313</v>
      </c>
      <c r="AS176" s="100">
        <f t="shared" si="179"/>
        <v>1849</v>
      </c>
      <c r="AT176" s="25">
        <f t="shared" si="180"/>
        <v>0.15744008121978928</v>
      </c>
      <c r="AU176" s="25">
        <f t="shared" si="181"/>
        <v>1.0254127660444448</v>
      </c>
      <c r="AV176" s="53">
        <f t="shared" si="185"/>
        <v>5.5971693324743708</v>
      </c>
      <c r="AW176" s="53">
        <f t="shared" si="186"/>
        <v>1296</v>
      </c>
      <c r="AX176" s="100">
        <f>P176*R176</f>
        <v>5.8459324139176765</v>
      </c>
      <c r="AY176" s="100">
        <f>R176*R176</f>
        <v>1413.7600000000002</v>
      </c>
      <c r="AZ176" s="15"/>
      <c r="BA176" s="15"/>
      <c r="BB176" s="15"/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BM176" s="15"/>
      <c r="BN176" s="15"/>
      <c r="BO176" s="15"/>
      <c r="BP176" s="15"/>
      <c r="BQ176" s="15"/>
      <c r="BR176" s="15"/>
      <c r="BS176" s="15"/>
      <c r="BT176" s="15"/>
      <c r="BU176" s="15"/>
      <c r="BV176" s="15"/>
      <c r="BW176" s="15"/>
      <c r="BX176" s="15"/>
      <c r="BY176" s="15"/>
      <c r="BZ176" s="15"/>
      <c r="CA176" s="15"/>
      <c r="CB176" s="15"/>
      <c r="CC176" s="15"/>
      <c r="CD176" s="15"/>
      <c r="CE176" s="15"/>
      <c r="CF176" s="15"/>
      <c r="CG176" s="15"/>
      <c r="CH176" s="15"/>
      <c r="CI176" s="15"/>
      <c r="CJ176" s="15"/>
      <c r="CK176" s="15"/>
      <c r="CL176" s="15"/>
      <c r="CM176" s="15"/>
      <c r="CN176" s="15"/>
      <c r="CO176" s="15"/>
      <c r="CP176" s="15"/>
      <c r="CQ176" s="15"/>
      <c r="CR176" s="15"/>
    </row>
    <row r="177" spans="1:96" s="74" customFormat="1" ht="14">
      <c r="A177" s="16" t="s">
        <v>169</v>
      </c>
      <c r="B177" s="14">
        <v>5</v>
      </c>
      <c r="C177" s="14">
        <v>4</v>
      </c>
      <c r="D177" s="22" t="s">
        <v>3</v>
      </c>
      <c r="E177" s="15">
        <f t="shared" si="162"/>
        <v>2.166666666666667</v>
      </c>
      <c r="F177" s="15">
        <v>36</v>
      </c>
      <c r="G177" s="25">
        <f t="shared" si="184"/>
        <v>1.7672000000000003</v>
      </c>
      <c r="H177" s="15">
        <f>(G177+I177)/2</f>
        <v>1.2186000000000001</v>
      </c>
      <c r="I177" s="15">
        <v>0.67</v>
      </c>
      <c r="J177" s="25">
        <f t="shared" si="163"/>
        <v>0.34499999999999997</v>
      </c>
      <c r="K177" s="57">
        <f t="shared" si="164"/>
        <v>0.45999999999999996</v>
      </c>
      <c r="L177" s="15">
        <v>0.6</v>
      </c>
      <c r="M177" s="15">
        <v>0.4</v>
      </c>
      <c r="N177" s="70">
        <f t="shared" si="165"/>
        <v>0.21791044776119403</v>
      </c>
      <c r="O177" s="53">
        <f t="shared" si="182"/>
        <v>60.892253734584877</v>
      </c>
      <c r="P177" s="25">
        <f t="shared" si="166"/>
        <v>4.3191043830690785E-2</v>
      </c>
      <c r="Q177" s="15">
        <f t="shared" si="167"/>
        <v>0.61111111111111094</v>
      </c>
      <c r="R177" s="15">
        <v>53.6</v>
      </c>
      <c r="S177" s="15">
        <v>0.34599999999999997</v>
      </c>
      <c r="T177" s="15">
        <f>(R177/100+S177)/2</f>
        <v>0.441</v>
      </c>
      <c r="U177" s="15">
        <v>0.40500000000000003</v>
      </c>
      <c r="V177" s="15">
        <v>0.99</v>
      </c>
      <c r="W177" s="15">
        <f>(V177+U177+J177)/3</f>
        <v>0.57999999999999996</v>
      </c>
      <c r="X177" s="15">
        <f>-12/119</f>
        <v>-0.10084033613445378</v>
      </c>
      <c r="Y177" s="15">
        <f>X177</f>
        <v>-0.10084033613445378</v>
      </c>
      <c r="Z177" s="25">
        <f t="shared" si="183"/>
        <v>1.75473841510172</v>
      </c>
      <c r="AA177" s="15">
        <v>8.1</v>
      </c>
      <c r="AB177" s="15">
        <v>0.7</v>
      </c>
      <c r="AC177" s="15">
        <v>66.7</v>
      </c>
      <c r="AD177" s="75"/>
      <c r="AE177" s="15">
        <v>6.55</v>
      </c>
      <c r="AF177" s="131">
        <f t="shared" si="168"/>
        <v>2.8817104105724436E-2</v>
      </c>
      <c r="AG177" s="15">
        <v>1</v>
      </c>
      <c r="AH177" s="15">
        <v>16</v>
      </c>
      <c r="AI177" s="57">
        <f t="shared" si="169"/>
        <v>1.4944101165419011E-2</v>
      </c>
      <c r="AJ177" s="57">
        <f t="shared" si="170"/>
        <v>1.8654662671846525E-3</v>
      </c>
      <c r="AK177" s="57">
        <f t="shared" si="171"/>
        <v>0.11971599999999999</v>
      </c>
      <c r="AL177" s="53">
        <f t="shared" si="172"/>
        <v>0.28290133709102466</v>
      </c>
      <c r="AM177" s="53">
        <f t="shared" si="173"/>
        <v>42.902499999999996</v>
      </c>
      <c r="AN177" s="80">
        <f t="shared" si="174"/>
        <v>9.3580594966496719E-2</v>
      </c>
      <c r="AO177" s="80">
        <f t="shared" si="175"/>
        <v>4.6944444444444455</v>
      </c>
      <c r="AP177" s="145">
        <f t="shared" si="176"/>
        <v>7.5788983798055265E-2</v>
      </c>
      <c r="AQ177" s="145">
        <f t="shared" si="177"/>
        <v>3.0791069054336964</v>
      </c>
      <c r="AR177" s="100">
        <f t="shared" si="178"/>
        <v>2.8808426235070757</v>
      </c>
      <c r="AS177" s="100">
        <f t="shared" si="179"/>
        <v>4448.8900000000003</v>
      </c>
      <c r="AT177" s="25">
        <f t="shared" si="180"/>
        <v>5.2632606012079794E-2</v>
      </c>
      <c r="AU177" s="25">
        <f t="shared" si="181"/>
        <v>1.4849859600000004</v>
      </c>
      <c r="AV177" s="53">
        <f t="shared" si="185"/>
        <v>0.34984745502859532</v>
      </c>
      <c r="AW177" s="53">
        <f t="shared" si="186"/>
        <v>65.61</v>
      </c>
      <c r="AX177" s="100">
        <f>P177*R177</f>
        <v>2.3150399493250262</v>
      </c>
      <c r="AY177" s="100">
        <f>R177*R177</f>
        <v>2872.96</v>
      </c>
    </row>
    <row r="178" spans="1:96" s="13" customFormat="1" ht="14">
      <c r="A178" s="16" t="s">
        <v>170</v>
      </c>
      <c r="B178" s="14">
        <v>5</v>
      </c>
      <c r="C178" s="14">
        <v>4</v>
      </c>
      <c r="D178" s="22" t="s">
        <v>3</v>
      </c>
      <c r="E178" s="15">
        <f t="shared" si="162"/>
        <v>2.166666666666667</v>
      </c>
      <c r="F178" s="15">
        <v>27.1</v>
      </c>
      <c r="G178" s="25">
        <f t="shared" si="184"/>
        <v>1.083086666666667</v>
      </c>
      <c r="H178" s="15">
        <f>(G178+I178)/2</f>
        <v>0.91654333333333349</v>
      </c>
      <c r="I178" s="15">
        <v>0.75</v>
      </c>
      <c r="J178" s="25">
        <f t="shared" si="163"/>
        <v>0.65500000000000003</v>
      </c>
      <c r="K178" s="57">
        <f t="shared" si="164"/>
        <v>0.87333333333333341</v>
      </c>
      <c r="L178" s="15">
        <v>0.06</v>
      </c>
      <c r="M178" s="15">
        <v>0.2</v>
      </c>
      <c r="N178" s="70">
        <f t="shared" si="165"/>
        <v>0.1017910447761194</v>
      </c>
      <c r="O178" s="53">
        <f t="shared" si="182"/>
        <v>60.256676215785461</v>
      </c>
      <c r="P178" s="25">
        <f t="shared" si="166"/>
        <v>4.3646615863472037E-2</v>
      </c>
      <c r="Q178" s="15">
        <f t="shared" si="167"/>
        <v>0.61111111111111094</v>
      </c>
      <c r="R178" s="15"/>
      <c r="S178" s="15">
        <v>0.32700000000000001</v>
      </c>
      <c r="T178" s="70">
        <f>S178</f>
        <v>0.32700000000000001</v>
      </c>
      <c r="U178" s="15"/>
      <c r="V178" s="15">
        <v>0.62</v>
      </c>
      <c r="W178" s="25">
        <f>(V178+K178)/2</f>
        <v>0.7466666666666667</v>
      </c>
      <c r="X178" s="15" t="s">
        <v>225</v>
      </c>
      <c r="Y178" s="15">
        <v>0.1</v>
      </c>
      <c r="Z178" s="25">
        <f t="shared" si="183"/>
        <v>2.0487723103223128</v>
      </c>
      <c r="AA178" s="15">
        <v>32</v>
      </c>
      <c r="AB178" s="15"/>
      <c r="AC178" s="15">
        <v>6.1</v>
      </c>
      <c r="AD178" s="75"/>
      <c r="AE178" s="15">
        <v>3.45</v>
      </c>
      <c r="AF178" s="131">
        <f t="shared" si="168"/>
        <v>3.4000752098994717E-2</v>
      </c>
      <c r="AG178" s="15">
        <v>1</v>
      </c>
      <c r="AH178" s="15">
        <v>58</v>
      </c>
      <c r="AI178" s="57">
        <f t="shared" si="169"/>
        <v>1.4272443387355357E-2</v>
      </c>
      <c r="AJ178" s="57">
        <f t="shared" si="170"/>
        <v>1.9050270763334889E-3</v>
      </c>
      <c r="AK178" s="57">
        <f t="shared" si="171"/>
        <v>0.10692900000000001</v>
      </c>
      <c r="AL178" s="53">
        <f t="shared" si="172"/>
        <v>0.15058082472897855</v>
      </c>
      <c r="AM178" s="53">
        <f t="shared" si="173"/>
        <v>11.902500000000002</v>
      </c>
      <c r="AN178" s="80">
        <f t="shared" si="174"/>
        <v>9.4567667704189423E-2</v>
      </c>
      <c r="AO178" s="80">
        <f t="shared" si="175"/>
        <v>4.6944444444444455</v>
      </c>
      <c r="AP178" s="145">
        <f t="shared" si="176"/>
        <v>8.9421978020356105E-2</v>
      </c>
      <c r="AQ178" s="145">
        <f t="shared" si="177"/>
        <v>4.1974679795434273</v>
      </c>
      <c r="AR178" s="100">
        <f t="shared" si="178"/>
        <v>0.26624435676717939</v>
      </c>
      <c r="AS178" s="100">
        <f t="shared" si="179"/>
        <v>37.209999999999994</v>
      </c>
      <c r="AT178" s="25">
        <f t="shared" si="180"/>
        <v>4.0004014792226213E-2</v>
      </c>
      <c r="AU178" s="25">
        <f t="shared" si="181"/>
        <v>0.84005168187777801</v>
      </c>
      <c r="AV178" s="53">
        <f t="shared" si="185"/>
        <v>1.3966917076311052</v>
      </c>
      <c r="AW178" s="53">
        <f t="shared" si="186"/>
        <v>1024</v>
      </c>
      <c r="AX178" s="100"/>
      <c r="AY178" s="100"/>
      <c r="AZ178" s="15"/>
      <c r="BA178" s="15"/>
      <c r="BB178" s="15"/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BM178" s="15"/>
      <c r="BN178" s="15"/>
      <c r="BO178" s="15"/>
      <c r="BP178" s="15"/>
      <c r="BQ178" s="15"/>
      <c r="BR178" s="15"/>
      <c r="BS178" s="15"/>
      <c r="BT178" s="15"/>
      <c r="BU178" s="15"/>
      <c r="BV178" s="15"/>
      <c r="BW178" s="15"/>
      <c r="BX178" s="15"/>
      <c r="BY178" s="15"/>
      <c r="BZ178" s="15"/>
      <c r="CA178" s="15"/>
      <c r="CB178" s="15"/>
      <c r="CC178" s="15"/>
      <c r="CD178" s="15"/>
      <c r="CE178" s="15"/>
      <c r="CF178" s="15"/>
      <c r="CG178" s="15"/>
      <c r="CH178" s="15"/>
      <c r="CI178" s="15"/>
      <c r="CJ178" s="15"/>
      <c r="CK178" s="15"/>
      <c r="CL178" s="15"/>
      <c r="CM178" s="15"/>
      <c r="CN178" s="15"/>
      <c r="CO178" s="15"/>
      <c r="CP178" s="15"/>
      <c r="CQ178" s="15"/>
      <c r="CR178" s="15"/>
    </row>
    <row r="179" spans="1:96" s="13" customFormat="1" ht="14">
      <c r="A179" s="16" t="s">
        <v>171</v>
      </c>
      <c r="B179" s="14">
        <v>3</v>
      </c>
      <c r="C179" s="14">
        <v>3</v>
      </c>
      <c r="D179" s="22" t="s">
        <v>3</v>
      </c>
      <c r="E179" s="15">
        <f t="shared" si="162"/>
        <v>1.6666666666666665</v>
      </c>
      <c r="F179" s="15"/>
      <c r="G179" s="25">
        <f t="shared" si="184"/>
        <v>-1</v>
      </c>
      <c r="H179" s="15">
        <v>0.75</v>
      </c>
      <c r="I179" s="15">
        <v>0.75</v>
      </c>
      <c r="J179" s="25">
        <f t="shared" si="163"/>
        <v>0.51</v>
      </c>
      <c r="K179" s="57">
        <f t="shared" si="164"/>
        <v>0.68</v>
      </c>
      <c r="L179" s="15">
        <v>0.03</v>
      </c>
      <c r="M179" s="15">
        <v>0.2</v>
      </c>
      <c r="N179" s="70">
        <f t="shared" si="165"/>
        <v>0.10089552238805971</v>
      </c>
      <c r="O179" s="53">
        <f t="shared" si="182"/>
        <v>12.826233135020599</v>
      </c>
      <c r="P179" s="25">
        <f t="shared" si="166"/>
        <v>0.20504851052637413</v>
      </c>
      <c r="Q179" s="15">
        <f t="shared" si="167"/>
        <v>0.77777777777777779</v>
      </c>
      <c r="R179" s="15"/>
      <c r="S179" s="109">
        <v>0.43</v>
      </c>
      <c r="T179" s="70">
        <f>S179</f>
        <v>0.43</v>
      </c>
      <c r="U179" s="15"/>
      <c r="V179" s="15">
        <v>0.86</v>
      </c>
      <c r="W179" s="25">
        <f>(V179+K179)/2</f>
        <v>0.77</v>
      </c>
      <c r="X179" s="15" t="s">
        <v>225</v>
      </c>
      <c r="Y179" s="15">
        <v>0.1</v>
      </c>
      <c r="Z179" s="25">
        <f t="shared" si="183"/>
        <v>2.7486533782547049</v>
      </c>
      <c r="AA179" s="15">
        <v>24</v>
      </c>
      <c r="AB179" s="15">
        <v>13</v>
      </c>
      <c r="AC179" s="15">
        <v>0.1</v>
      </c>
      <c r="AD179" s="75"/>
      <c r="AE179" s="108">
        <v>4.9000000000000004</v>
      </c>
      <c r="AF179" s="131">
        <f t="shared" si="168"/>
        <v>0.2142993464503474</v>
      </c>
      <c r="AG179" s="80"/>
      <c r="AH179" s="80">
        <v>45</v>
      </c>
      <c r="AI179" s="57">
        <f t="shared" si="169"/>
        <v>8.8170859526340878E-2</v>
      </c>
      <c r="AJ179" s="57">
        <f t="shared" si="170"/>
        <v>4.2044891669084559E-2</v>
      </c>
      <c r="AK179" s="57">
        <f t="shared" si="171"/>
        <v>0.18489999999999998</v>
      </c>
      <c r="AL179" s="53">
        <f t="shared" si="172"/>
        <v>1.0047377015792334</v>
      </c>
      <c r="AM179" s="53">
        <f t="shared" si="173"/>
        <v>24.010000000000005</v>
      </c>
      <c r="AN179" s="80">
        <f t="shared" si="174"/>
        <v>0.34174751754395682</v>
      </c>
      <c r="AO179" s="80">
        <f t="shared" si="175"/>
        <v>2.7777777777777772</v>
      </c>
      <c r="AP179" s="145">
        <f t="shared" si="176"/>
        <v>0.56360728116441372</v>
      </c>
      <c r="AQ179" s="145">
        <f t="shared" si="177"/>
        <v>7.5550953937910021</v>
      </c>
      <c r="AR179" s="100">
        <f t="shared" si="178"/>
        <v>2.0504851052637413E-2</v>
      </c>
      <c r="AS179" s="100">
        <f t="shared" si="179"/>
        <v>1.0000000000000002E-2</v>
      </c>
      <c r="AT179" s="25">
        <f t="shared" si="180"/>
        <v>0.15378638289478058</v>
      </c>
      <c r="AU179" s="25">
        <f t="shared" si="181"/>
        <v>0.5625</v>
      </c>
      <c r="AV179" s="53">
        <f t="shared" si="185"/>
        <v>4.9211642526329786</v>
      </c>
      <c r="AW179" s="53">
        <f t="shared" si="186"/>
        <v>576</v>
      </c>
      <c r="AX179" s="100"/>
      <c r="AY179" s="100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  <c r="BX179" s="15"/>
      <c r="BY179" s="15"/>
      <c r="BZ179" s="15"/>
      <c r="CA179" s="15"/>
      <c r="CB179" s="15"/>
      <c r="CC179" s="15"/>
      <c r="CD179" s="15"/>
      <c r="CE179" s="15"/>
      <c r="CF179" s="15"/>
      <c r="CG179" s="15"/>
      <c r="CH179" s="15"/>
      <c r="CI179" s="15"/>
      <c r="CJ179" s="15"/>
      <c r="CK179" s="15"/>
      <c r="CL179" s="15"/>
      <c r="CM179" s="15"/>
      <c r="CN179" s="15"/>
      <c r="CO179" s="15"/>
      <c r="CP179" s="15"/>
      <c r="CQ179" s="15"/>
      <c r="CR179" s="15"/>
    </row>
    <row r="180" spans="1:96" s="13" customFormat="1" ht="14">
      <c r="A180" s="16" t="s">
        <v>192</v>
      </c>
      <c r="B180" s="14">
        <v>2</v>
      </c>
      <c r="C180" s="14">
        <v>2</v>
      </c>
      <c r="D180" s="22" t="s">
        <v>8</v>
      </c>
      <c r="E180" s="15">
        <f t="shared" si="162"/>
        <v>1.3333333333333333</v>
      </c>
      <c r="F180" s="15"/>
      <c r="G180" s="25">
        <f t="shared" si="184"/>
        <v>-1</v>
      </c>
      <c r="H180" s="15">
        <v>0.75</v>
      </c>
      <c r="I180" s="15">
        <v>0.75</v>
      </c>
      <c r="J180" s="25">
        <f t="shared" si="163"/>
        <v>0.28400000000000003</v>
      </c>
      <c r="K180" s="57">
        <f t="shared" si="164"/>
        <v>0.37866666666666671</v>
      </c>
      <c r="L180" s="15">
        <v>0.16</v>
      </c>
      <c r="M180" s="15">
        <v>0.2</v>
      </c>
      <c r="N180" s="70">
        <f t="shared" si="165"/>
        <v>0.10477611940298508</v>
      </c>
      <c r="O180" s="53">
        <f t="shared" si="182"/>
        <v>5.178888103654276</v>
      </c>
      <c r="P180" s="25">
        <f t="shared" si="166"/>
        <v>0.50783101456550972</v>
      </c>
      <c r="Q180" s="15">
        <f t="shared" si="167"/>
        <v>0.88888888888888895</v>
      </c>
      <c r="R180" s="15"/>
      <c r="S180" s="15">
        <f>1-0.736</f>
        <v>0.26400000000000001</v>
      </c>
      <c r="T180" s="70">
        <f>S180</f>
        <v>0.26400000000000001</v>
      </c>
      <c r="U180" s="15">
        <v>0.317</v>
      </c>
      <c r="V180" s="15">
        <v>1.1399999999999999</v>
      </c>
      <c r="W180" s="15">
        <f>(V180+U180+J180)/3</f>
        <v>0.58033333333333326</v>
      </c>
      <c r="X180" s="15" t="s">
        <v>223</v>
      </c>
      <c r="Y180" s="15">
        <v>0.1</v>
      </c>
      <c r="Z180" s="25">
        <f t="shared" si="183"/>
        <v>2.3149947215032389</v>
      </c>
      <c r="AA180" s="15">
        <v>17</v>
      </c>
      <c r="AB180" s="15">
        <v>6.2</v>
      </c>
      <c r="AC180" s="15">
        <v>1.33</v>
      </c>
      <c r="AD180" s="75"/>
      <c r="AE180" s="15">
        <v>7.16</v>
      </c>
      <c r="AF180" s="131">
        <f t="shared" si="168"/>
        <v>0.44700612856836108</v>
      </c>
      <c r="AG180" s="15"/>
      <c r="AH180" s="15">
        <v>39</v>
      </c>
      <c r="AI180" s="57">
        <f t="shared" si="169"/>
        <v>0.13406738784529457</v>
      </c>
      <c r="AJ180" s="57">
        <f t="shared" si="170"/>
        <v>0.25789233935463496</v>
      </c>
      <c r="AK180" s="57">
        <f t="shared" si="171"/>
        <v>6.9696000000000008E-2</v>
      </c>
      <c r="AL180" s="53">
        <f t="shared" si="172"/>
        <v>3.6360700642890498</v>
      </c>
      <c r="AM180" s="53">
        <f t="shared" si="173"/>
        <v>51.265599999999999</v>
      </c>
      <c r="AN180" s="80">
        <f t="shared" si="174"/>
        <v>0.67710801942067955</v>
      </c>
      <c r="AO180" s="80">
        <f t="shared" si="175"/>
        <v>1.7777777777777777</v>
      </c>
      <c r="AP180" s="145">
        <f t="shared" si="176"/>
        <v>1.1756261181347893</v>
      </c>
      <c r="AQ180" s="145">
        <f t="shared" si="177"/>
        <v>5.3592005605878592</v>
      </c>
      <c r="AR180" s="100">
        <f t="shared" si="178"/>
        <v>0.67541524937212793</v>
      </c>
      <c r="AS180" s="100">
        <f t="shared" si="179"/>
        <v>1.7689000000000001</v>
      </c>
      <c r="AT180" s="25">
        <f t="shared" si="180"/>
        <v>0.38087326092413232</v>
      </c>
      <c r="AU180" s="25">
        <f t="shared" si="181"/>
        <v>0.5625</v>
      </c>
      <c r="AV180" s="53">
        <f t="shared" si="185"/>
        <v>8.6331272476136647</v>
      </c>
      <c r="AW180" s="53">
        <f t="shared" si="186"/>
        <v>289</v>
      </c>
      <c r="AX180" s="100"/>
      <c r="AY180" s="100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5"/>
      <c r="BU180" s="15"/>
      <c r="BV180" s="15"/>
      <c r="BW180" s="15"/>
      <c r="BX180" s="15"/>
      <c r="BY180" s="15"/>
      <c r="BZ180" s="15"/>
      <c r="CA180" s="15"/>
      <c r="CB180" s="15"/>
      <c r="CC180" s="15"/>
      <c r="CD180" s="15"/>
      <c r="CE180" s="15"/>
      <c r="CF180" s="15"/>
      <c r="CG180" s="15"/>
      <c r="CH180" s="15"/>
      <c r="CI180" s="15"/>
      <c r="CJ180" s="15"/>
      <c r="CK180" s="15"/>
      <c r="CL180" s="15"/>
      <c r="CM180" s="15"/>
      <c r="CN180" s="15"/>
      <c r="CO180" s="15"/>
      <c r="CP180" s="15"/>
      <c r="CQ180" s="15"/>
      <c r="CR180" s="15"/>
    </row>
    <row r="181" spans="1:96" s="53" customFormat="1" ht="14">
      <c r="A181" s="96" t="s">
        <v>172</v>
      </c>
      <c r="B181" s="97">
        <v>5</v>
      </c>
      <c r="C181" s="97">
        <v>5</v>
      </c>
      <c r="D181" s="98" t="s">
        <v>4</v>
      </c>
      <c r="E181" s="99">
        <f t="shared" si="162"/>
        <v>2.333333333333333</v>
      </c>
      <c r="F181" s="99">
        <v>31.5</v>
      </c>
      <c r="G181" s="99">
        <f t="shared" si="184"/>
        <v>1.4213</v>
      </c>
      <c r="H181" s="99">
        <f>(G181+I181)/2</f>
        <v>1.08565</v>
      </c>
      <c r="I181" s="99">
        <v>0.75</v>
      </c>
      <c r="J181" s="99">
        <f t="shared" si="163"/>
        <v>0.72099999999999997</v>
      </c>
      <c r="K181" s="99">
        <f t="shared" si="164"/>
        <v>0.96133333333333326</v>
      </c>
      <c r="L181" s="99">
        <v>0.14000000000000001</v>
      </c>
      <c r="M181" s="99">
        <v>0.2</v>
      </c>
      <c r="N181" s="99">
        <f t="shared" si="165"/>
        <v>0.10417910447761194</v>
      </c>
      <c r="O181" s="99">
        <f t="shared" si="182"/>
        <v>151.31730982578793</v>
      </c>
      <c r="P181" s="99">
        <f t="shared" si="166"/>
        <v>1.7380694931914444E-2</v>
      </c>
      <c r="Q181" s="99">
        <f t="shared" si="167"/>
        <v>0.55555555555555558</v>
      </c>
      <c r="R181" s="99">
        <v>40</v>
      </c>
      <c r="S181" s="99">
        <v>0.317</v>
      </c>
      <c r="T181" s="99">
        <f>(R181/100+S181)/2</f>
        <v>0.35850000000000004</v>
      </c>
      <c r="U181" s="99">
        <v>0.51800000000000002</v>
      </c>
      <c r="V181" s="99">
        <v>1</v>
      </c>
      <c r="W181" s="99">
        <f>(V181+U181+J181)/3</f>
        <v>0.74633333333333329</v>
      </c>
      <c r="X181" s="99">
        <f>27/126</f>
        <v>0.21428571428571427</v>
      </c>
      <c r="Y181" s="99">
        <f>X181</f>
        <v>0.21428571428571427</v>
      </c>
      <c r="Z181" s="99">
        <f t="shared" si="183"/>
        <v>2.0809903606896869</v>
      </c>
      <c r="AA181" s="99">
        <v>3.8</v>
      </c>
      <c r="AB181" s="99">
        <v>16</v>
      </c>
      <c r="AC181" s="99">
        <v>10.67</v>
      </c>
      <c r="AD181" s="99"/>
      <c r="AE181" s="99">
        <v>2.79</v>
      </c>
      <c r="AF181" s="99">
        <f t="shared" si="168"/>
        <v>1.3752493770114848E-2</v>
      </c>
      <c r="AG181" s="99">
        <v>1</v>
      </c>
      <c r="AH181" s="99">
        <v>53</v>
      </c>
      <c r="AI181" s="99">
        <f t="shared" si="169"/>
        <v>5.5096802934168788E-3</v>
      </c>
      <c r="AJ181" s="99">
        <f t="shared" si="170"/>
        <v>3.0208855631627641E-4</v>
      </c>
      <c r="AK181" s="99">
        <f t="shared" si="171"/>
        <v>0.10048900000000001</v>
      </c>
      <c r="AL181" s="99">
        <f t="shared" si="172"/>
        <v>4.8492138860041299E-2</v>
      </c>
      <c r="AM181" s="99">
        <f t="shared" si="173"/>
        <v>7.7841000000000005</v>
      </c>
      <c r="AN181" s="99">
        <f t="shared" si="174"/>
        <v>4.0554954841133695E-2</v>
      </c>
      <c r="AO181" s="99">
        <f t="shared" si="175"/>
        <v>5.4444444444444429</v>
      </c>
      <c r="AP181" s="187">
        <f t="shared" si="176"/>
        <v>3.6169058615402053E-2</v>
      </c>
      <c r="AQ181" s="187">
        <f t="shared" si="177"/>
        <v>4.3305208812833929</v>
      </c>
      <c r="AR181" s="99">
        <f t="shared" si="178"/>
        <v>0.18545201492352711</v>
      </c>
      <c r="AS181" s="99">
        <f t="shared" si="179"/>
        <v>113.8489</v>
      </c>
      <c r="AT181" s="99">
        <f t="shared" si="180"/>
        <v>1.8869351452832916E-2</v>
      </c>
      <c r="AU181" s="99">
        <f t="shared" si="181"/>
        <v>1.1786359225</v>
      </c>
      <c r="AV181" s="99">
        <f t="shared" si="185"/>
        <v>6.6046640741274878E-2</v>
      </c>
      <c r="AW181" s="99">
        <f t="shared" si="186"/>
        <v>14.44</v>
      </c>
      <c r="AX181" s="99">
        <f>P181*R181</f>
        <v>0.69522779727657769</v>
      </c>
      <c r="AY181" s="99">
        <f>R181*R181</f>
        <v>1600</v>
      </c>
      <c r="AZ181" s="15"/>
      <c r="BA181" s="15"/>
      <c r="BB181" s="15"/>
      <c r="BC181" s="15"/>
      <c r="BD181" s="15"/>
      <c r="BE181" s="15"/>
      <c r="BF181" s="15"/>
      <c r="BG181" s="15"/>
      <c r="BH181" s="15"/>
      <c r="BI181" s="15"/>
      <c r="BJ181" s="15"/>
      <c r="BK181" s="15"/>
      <c r="BL181" s="15"/>
      <c r="BM181" s="15"/>
      <c r="BN181" s="15"/>
      <c r="BO181" s="15"/>
      <c r="BP181" s="15"/>
      <c r="BQ181" s="15"/>
      <c r="BR181" s="15"/>
      <c r="BS181" s="15"/>
      <c r="BT181" s="15"/>
      <c r="BU181" s="15"/>
      <c r="BV181" s="15"/>
      <c r="BW181" s="15"/>
      <c r="BX181" s="15"/>
      <c r="BY181" s="15"/>
      <c r="BZ181" s="15"/>
      <c r="CA181" s="15"/>
      <c r="CB181" s="15"/>
      <c r="CC181" s="15"/>
      <c r="CD181" s="15"/>
      <c r="CE181" s="15"/>
      <c r="CF181" s="15"/>
      <c r="CG181" s="15"/>
      <c r="CH181" s="15"/>
      <c r="CI181" s="15"/>
      <c r="CJ181" s="15"/>
      <c r="CK181" s="15"/>
      <c r="CL181" s="15"/>
      <c r="CM181" s="15"/>
      <c r="CN181" s="15"/>
      <c r="CO181" s="15"/>
      <c r="CP181" s="15"/>
      <c r="CQ181" s="15"/>
      <c r="CR181" s="15"/>
    </row>
    <row r="182" spans="1:96" s="74" customFormat="1" ht="14">
      <c r="A182" s="96" t="s">
        <v>173</v>
      </c>
      <c r="B182" s="97">
        <v>3</v>
      </c>
      <c r="C182" s="97">
        <v>3</v>
      </c>
      <c r="D182" s="98" t="s">
        <v>3</v>
      </c>
      <c r="E182" s="99">
        <f t="shared" si="162"/>
        <v>1.6666666666666665</v>
      </c>
      <c r="F182" s="99">
        <v>30.3</v>
      </c>
      <c r="G182" s="99">
        <f t="shared" si="184"/>
        <v>1.3290600000000001</v>
      </c>
      <c r="H182" s="99">
        <f>(G182+I182)/2</f>
        <v>1.1645300000000001</v>
      </c>
      <c r="I182" s="99">
        <v>1</v>
      </c>
      <c r="J182" s="99">
        <f t="shared" si="163"/>
        <v>0.42699999999999994</v>
      </c>
      <c r="K182" s="57">
        <f t="shared" si="164"/>
        <v>0.56933333333333325</v>
      </c>
      <c r="L182" s="99">
        <v>0.61</v>
      </c>
      <c r="M182" s="99">
        <v>0.6</v>
      </c>
      <c r="N182" s="70">
        <f t="shared" si="165"/>
        <v>0.3182089552238806</v>
      </c>
      <c r="O182" s="99">
        <f t="shared" si="182"/>
        <v>30.573098274437882</v>
      </c>
      <c r="P182" s="99">
        <f t="shared" si="166"/>
        <v>8.6023339093471554E-2</v>
      </c>
      <c r="Q182" s="99">
        <f t="shared" si="167"/>
        <v>0.77777777777777779</v>
      </c>
      <c r="R182" s="99">
        <v>40.200000000000003</v>
      </c>
      <c r="S182" s="99">
        <f>1-0.679</f>
        <v>0.32099999999999995</v>
      </c>
      <c r="T182" s="99">
        <f>(R182/100+S182)/2</f>
        <v>0.36149999999999999</v>
      </c>
      <c r="U182" s="99">
        <v>0.42399999999999999</v>
      </c>
      <c r="V182" s="99">
        <f>1-0.46</f>
        <v>0.54</v>
      </c>
      <c r="W182" s="99">
        <f>(V182+U182+J182)/3</f>
        <v>0.46366666666666667</v>
      </c>
      <c r="X182" s="99">
        <f>-4/117</f>
        <v>-3.4188034188034191E-2</v>
      </c>
      <c r="Y182" s="99">
        <f>X182</f>
        <v>-3.4188034188034191E-2</v>
      </c>
      <c r="Z182" s="99">
        <f t="shared" si="183"/>
        <v>1.8500369336737703</v>
      </c>
      <c r="AA182" s="99">
        <v>16.899999999999999</v>
      </c>
      <c r="AB182" s="99">
        <v>10.3</v>
      </c>
      <c r="AC182" s="99">
        <v>74.72</v>
      </c>
      <c r="AD182" s="99"/>
      <c r="AE182" s="99">
        <v>5.73</v>
      </c>
      <c r="AF182" s="131">
        <f t="shared" si="168"/>
        <v>6.0511921855842241E-2</v>
      </c>
      <c r="AG182" s="15">
        <v>1</v>
      </c>
      <c r="AH182" s="15">
        <v>17</v>
      </c>
      <c r="AI182" s="57">
        <f t="shared" si="169"/>
        <v>2.7613491849004364E-2</v>
      </c>
      <c r="AJ182" s="57">
        <f t="shared" si="170"/>
        <v>7.4000148687903911E-3</v>
      </c>
      <c r="AK182" s="57">
        <f t="shared" si="171"/>
        <v>0.10304099999999997</v>
      </c>
      <c r="AL182" s="53">
        <f t="shared" si="172"/>
        <v>0.49291373300559205</v>
      </c>
      <c r="AM182" s="53">
        <f t="shared" si="173"/>
        <v>32.832900000000002</v>
      </c>
      <c r="AN182" s="80">
        <f t="shared" si="174"/>
        <v>0.14337223182245257</v>
      </c>
      <c r="AO182" s="80">
        <f t="shared" si="175"/>
        <v>2.7777777777777772</v>
      </c>
      <c r="AP182" s="145">
        <f t="shared" si="176"/>
        <v>0.15914635448086509</v>
      </c>
      <c r="AQ182" s="145">
        <f t="shared" si="177"/>
        <v>3.4226366559570462</v>
      </c>
      <c r="AR182" s="100">
        <f t="shared" si="178"/>
        <v>6.4276638970641944</v>
      </c>
      <c r="AS182" s="100">
        <f t="shared" si="179"/>
        <v>5583.0783999999994</v>
      </c>
      <c r="AT182" s="25">
        <f t="shared" si="180"/>
        <v>0.10017675907452044</v>
      </c>
      <c r="AU182" s="25">
        <f t="shared" si="181"/>
        <v>1.3561301209000001</v>
      </c>
      <c r="AV182" s="53">
        <f t="shared" si="185"/>
        <v>1.4537944306796691</v>
      </c>
      <c r="AW182" s="53">
        <f t="shared" si="186"/>
        <v>285.60999999999996</v>
      </c>
      <c r="AX182" s="100">
        <f>P182*R182</f>
        <v>3.4581382315575566</v>
      </c>
      <c r="AY182" s="100">
        <f>R182*R182</f>
        <v>1616.0400000000002</v>
      </c>
    </row>
    <row r="183" spans="1:96" s="13" customFormat="1" ht="14">
      <c r="A183" s="16" t="s">
        <v>174</v>
      </c>
      <c r="B183" s="14">
        <v>7</v>
      </c>
      <c r="C183" s="14">
        <v>7</v>
      </c>
      <c r="D183" s="22" t="s">
        <v>4</v>
      </c>
      <c r="E183" s="15">
        <f t="shared" si="162"/>
        <v>3</v>
      </c>
      <c r="F183" s="15">
        <v>31.7</v>
      </c>
      <c r="G183" s="25">
        <f t="shared" si="184"/>
        <v>1.4366733333333332</v>
      </c>
      <c r="H183" s="15">
        <f>(G183+I183)/2</f>
        <v>1.0933366666666666</v>
      </c>
      <c r="I183" s="15">
        <v>0.75</v>
      </c>
      <c r="J183" s="25">
        <f t="shared" si="163"/>
        <v>0.82800000000000007</v>
      </c>
      <c r="K183" s="57">
        <f t="shared" si="164"/>
        <v>1.1040000000000001</v>
      </c>
      <c r="L183" s="15">
        <v>0.06</v>
      </c>
      <c r="M183" s="15">
        <v>0.2</v>
      </c>
      <c r="N183" s="70">
        <f t="shared" si="165"/>
        <v>0.1017910447761194</v>
      </c>
      <c r="O183" s="53">
        <f t="shared" si="182"/>
        <v>989.68146054487397</v>
      </c>
      <c r="P183" s="25">
        <f t="shared" si="166"/>
        <v>2.6574207003453826E-3</v>
      </c>
      <c r="Q183" s="15">
        <f t="shared" si="167"/>
        <v>0.33333333333333337</v>
      </c>
      <c r="R183" s="15">
        <v>40.799999999999997</v>
      </c>
      <c r="S183" s="15">
        <v>0.33100000000000002</v>
      </c>
      <c r="T183" s="15">
        <f>(R183/100+S183)/2</f>
        <v>0.3695</v>
      </c>
      <c r="U183" s="15"/>
      <c r="V183" s="15">
        <v>0.01</v>
      </c>
      <c r="W183" s="25">
        <f>(V183+K183)/2</f>
        <v>0.55700000000000005</v>
      </c>
      <c r="X183" s="15">
        <f>-50/158</f>
        <v>-0.31645569620253167</v>
      </c>
      <c r="Y183" s="15">
        <f>X183</f>
        <v>-0.31645569620253167</v>
      </c>
      <c r="Z183" s="25">
        <f t="shared" si="183"/>
        <v>1.2254989917568004</v>
      </c>
      <c r="AA183" s="15">
        <v>30</v>
      </c>
      <c r="AB183" s="15">
        <v>60</v>
      </c>
      <c r="AC183" s="15">
        <v>5.2</v>
      </c>
      <c r="AD183" s="75"/>
      <c r="AE183" s="15">
        <v>1.72</v>
      </c>
      <c r="AF183" s="131">
        <f t="shared" si="168"/>
        <v>1.2382761935159378E-3</v>
      </c>
      <c r="AG183" s="53">
        <v>1</v>
      </c>
      <c r="AH183" s="53">
        <v>16</v>
      </c>
      <c r="AI183" s="57">
        <f t="shared" si="169"/>
        <v>8.7960625181432168E-4</v>
      </c>
      <c r="AJ183" s="57">
        <f t="shared" si="170"/>
        <v>7.0618847786241436E-6</v>
      </c>
      <c r="AK183" s="57">
        <f t="shared" si="171"/>
        <v>0.10956100000000001</v>
      </c>
      <c r="AL183" s="53">
        <f t="shared" si="172"/>
        <v>4.5707636045940582E-3</v>
      </c>
      <c r="AM183" s="53">
        <f t="shared" si="173"/>
        <v>2.9583999999999997</v>
      </c>
      <c r="AN183" s="80">
        <f t="shared" si="174"/>
        <v>7.9722621010361473E-3</v>
      </c>
      <c r="AO183" s="80">
        <f t="shared" si="175"/>
        <v>9</v>
      </c>
      <c r="AP183" s="145">
        <f t="shared" si="176"/>
        <v>3.2566663889469168E-3</v>
      </c>
      <c r="AQ183" s="145">
        <f t="shared" si="177"/>
        <v>1.5018477787969344</v>
      </c>
      <c r="AR183" s="100">
        <f t="shared" si="178"/>
        <v>1.381858764179599E-2</v>
      </c>
      <c r="AS183" s="100">
        <f t="shared" si="179"/>
        <v>27.040000000000003</v>
      </c>
      <c r="AT183" s="25">
        <f t="shared" si="180"/>
        <v>2.9054554904466194E-3</v>
      </c>
      <c r="AU183" s="25">
        <f t="shared" si="181"/>
        <v>1.1953850666777777</v>
      </c>
      <c r="AV183" s="53">
        <f t="shared" si="185"/>
        <v>7.9722621010361483E-2</v>
      </c>
      <c r="AW183" s="53">
        <f t="shared" si="186"/>
        <v>900</v>
      </c>
      <c r="AX183" s="100">
        <f>P183*R183</f>
        <v>0.1084227645740916</v>
      </c>
      <c r="AY183" s="100">
        <f>R183*R183</f>
        <v>1664.6399999999999</v>
      </c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5"/>
      <c r="BS183" s="15"/>
      <c r="BT183" s="15"/>
      <c r="BU183" s="15"/>
      <c r="BV183" s="15"/>
      <c r="BW183" s="15"/>
      <c r="BX183" s="15"/>
      <c r="BY183" s="15"/>
      <c r="BZ183" s="15"/>
      <c r="CA183" s="15"/>
      <c r="CB183" s="15"/>
      <c r="CC183" s="15"/>
      <c r="CD183" s="15"/>
      <c r="CE183" s="15"/>
      <c r="CF183" s="15"/>
      <c r="CG183" s="15"/>
      <c r="CH183" s="15"/>
      <c r="CI183" s="15"/>
      <c r="CJ183" s="15"/>
      <c r="CK183" s="15"/>
      <c r="CL183" s="15"/>
      <c r="CM183" s="15"/>
      <c r="CN183" s="15"/>
      <c r="CO183" s="15"/>
      <c r="CP183" s="15"/>
      <c r="CQ183" s="15"/>
      <c r="CR183" s="15"/>
    </row>
    <row r="184" spans="1:96" s="25" customFormat="1" ht="14">
      <c r="A184" s="16" t="s">
        <v>175</v>
      </c>
      <c r="B184" s="14">
        <v>1</v>
      </c>
      <c r="C184" s="14">
        <v>1</v>
      </c>
      <c r="D184" s="22" t="s">
        <v>8</v>
      </c>
      <c r="E184" s="15">
        <f t="shared" si="162"/>
        <v>1</v>
      </c>
      <c r="F184" s="15"/>
      <c r="G184" s="25">
        <f t="shared" si="184"/>
        <v>-1</v>
      </c>
      <c r="H184" s="15">
        <v>0.67</v>
      </c>
      <c r="I184" s="15">
        <v>0.67</v>
      </c>
      <c r="J184" s="25">
        <f t="shared" si="163"/>
        <v>0.19000000000000006</v>
      </c>
      <c r="K184" s="57">
        <f t="shared" si="164"/>
        <v>0.25333333333333341</v>
      </c>
      <c r="L184" s="15">
        <v>0.03</v>
      </c>
      <c r="M184" s="15">
        <v>0.2</v>
      </c>
      <c r="N184" s="70">
        <f t="shared" si="165"/>
        <v>0.10089552238805971</v>
      </c>
      <c r="O184" s="53">
        <f t="shared" si="182"/>
        <v>2.7849470363265003</v>
      </c>
      <c r="P184" s="25">
        <f t="shared" si="166"/>
        <v>0.94436266316544237</v>
      </c>
      <c r="Q184" s="15">
        <f t="shared" si="167"/>
        <v>1</v>
      </c>
      <c r="R184" s="15"/>
      <c r="S184" s="109">
        <v>0.15</v>
      </c>
      <c r="T184" s="70">
        <f>S184</f>
        <v>0.15</v>
      </c>
      <c r="U184" s="15"/>
      <c r="V184" s="15">
        <v>0.9</v>
      </c>
      <c r="W184" s="25">
        <f>(V184+K184)/2</f>
        <v>0.57666666666666666</v>
      </c>
      <c r="X184" s="15" t="s">
        <v>223</v>
      </c>
      <c r="Y184" s="15">
        <v>0.1</v>
      </c>
      <c r="Z184" s="25">
        <f t="shared" si="183"/>
        <v>2.2856870709784709</v>
      </c>
      <c r="AA184" s="15" t="s">
        <v>223</v>
      </c>
      <c r="AB184" s="15"/>
      <c r="AC184" s="15">
        <v>0.01</v>
      </c>
      <c r="AD184" s="75"/>
      <c r="AE184" s="108">
        <v>8.1</v>
      </c>
      <c r="AF184" s="131">
        <f t="shared" si="168"/>
        <v>0.82072909867378263</v>
      </c>
      <c r="AG184" s="39"/>
      <c r="AH184" s="39">
        <v>45</v>
      </c>
      <c r="AI184" s="57">
        <f t="shared" si="169"/>
        <v>0.14165439947481634</v>
      </c>
      <c r="AJ184" s="57">
        <f t="shared" si="170"/>
        <v>0.89182083958092673</v>
      </c>
      <c r="AK184" s="57">
        <f t="shared" si="171"/>
        <v>2.2499999999999999E-2</v>
      </c>
      <c r="AL184" s="53">
        <f t="shared" si="172"/>
        <v>7.6493375716400829</v>
      </c>
      <c r="AM184" s="53">
        <f t="shared" si="173"/>
        <v>65.61</v>
      </c>
      <c r="AN184" s="80">
        <f t="shared" si="174"/>
        <v>0.94436266316544237</v>
      </c>
      <c r="AO184" s="80">
        <f t="shared" si="175"/>
        <v>1</v>
      </c>
      <c r="AP184" s="145">
        <f t="shared" si="176"/>
        <v>2.1585175295120482</v>
      </c>
      <c r="AQ184" s="145">
        <f t="shared" si="177"/>
        <v>5.2243653864381416</v>
      </c>
      <c r="AR184" s="100">
        <f t="shared" si="178"/>
        <v>9.4436266316544233E-3</v>
      </c>
      <c r="AS184" s="100">
        <f t="shared" si="179"/>
        <v>1E-4</v>
      </c>
      <c r="AT184" s="25">
        <f t="shared" si="180"/>
        <v>0.63272298432084639</v>
      </c>
      <c r="AU184" s="25">
        <f t="shared" si="181"/>
        <v>0.44890000000000008</v>
      </c>
      <c r="AV184" s="53"/>
      <c r="AW184" s="53"/>
      <c r="AX184" s="100"/>
      <c r="AY184" s="100"/>
    </row>
    <row r="185" spans="1:96" s="107" customFormat="1" ht="14">
      <c r="A185" s="71" t="s">
        <v>176</v>
      </c>
      <c r="B185" s="72">
        <v>5</v>
      </c>
      <c r="C185" s="72">
        <v>4</v>
      </c>
      <c r="D185" s="73" t="s">
        <v>3</v>
      </c>
      <c r="E185" s="74">
        <f t="shared" si="162"/>
        <v>2.166666666666667</v>
      </c>
      <c r="F185" s="74">
        <v>36.1</v>
      </c>
      <c r="G185" s="74">
        <f t="shared" si="184"/>
        <v>1.7748866666666667</v>
      </c>
      <c r="H185" s="74">
        <f t="shared" ref="H185:H191" si="187">(G185+I185)/2</f>
        <v>1.2624433333333334</v>
      </c>
      <c r="I185" s="74">
        <v>0.75</v>
      </c>
      <c r="J185" s="74">
        <f t="shared" si="163"/>
        <v>0.495</v>
      </c>
      <c r="K185" s="74">
        <f t="shared" si="164"/>
        <v>0.66</v>
      </c>
      <c r="L185" s="74">
        <v>0.1</v>
      </c>
      <c r="M185" s="74">
        <v>0.2</v>
      </c>
      <c r="N185" s="74">
        <f t="shared" si="165"/>
        <v>0.10298507462686568</v>
      </c>
      <c r="O185" s="74">
        <f t="shared" si="182"/>
        <v>80.513769319686944</v>
      </c>
      <c r="P185" s="74">
        <f t="shared" si="166"/>
        <v>3.26652201508211E-2</v>
      </c>
      <c r="Q185" s="74">
        <f t="shared" si="167"/>
        <v>0.61111111111111094</v>
      </c>
      <c r="R185" s="74">
        <v>44.3</v>
      </c>
      <c r="S185" s="74">
        <v>0.57799999999999996</v>
      </c>
      <c r="T185" s="74">
        <f t="shared" ref="T185:T191" si="188">(R185/100+S185)/2</f>
        <v>0.51049999999999995</v>
      </c>
      <c r="U185" s="74">
        <v>0.25</v>
      </c>
      <c r="V185" s="74">
        <v>0.36</v>
      </c>
      <c r="W185" s="74">
        <f t="shared" ref="W185:W191" si="189">(V185+U185+J185)/3</f>
        <v>0.36833333333333335</v>
      </c>
      <c r="X185" s="74">
        <f>-53/147</f>
        <v>-0.36054421768707484</v>
      </c>
      <c r="Y185" s="74">
        <f>X185</f>
        <v>-0.36054421768707484</v>
      </c>
      <c r="Z185" s="74">
        <f t="shared" si="183"/>
        <v>1.3726349823193438</v>
      </c>
      <c r="AA185" s="74">
        <v>35</v>
      </c>
      <c r="AB185" s="74"/>
      <c r="AC185" s="74">
        <v>33</v>
      </c>
      <c r="AD185" s="74"/>
      <c r="AE185" s="74">
        <v>5.05</v>
      </c>
      <c r="AF185" s="131">
        <f t="shared" si="168"/>
        <v>1.704845014607597E-2</v>
      </c>
      <c r="AG185" s="74">
        <v>1</v>
      </c>
      <c r="AH185" s="74">
        <v>58</v>
      </c>
      <c r="AI185" s="57">
        <f t="shared" si="169"/>
        <v>1.8880497247174596E-2</v>
      </c>
      <c r="AJ185" s="57">
        <f t="shared" si="170"/>
        <v>1.067016607501609E-3</v>
      </c>
      <c r="AK185" s="57">
        <f t="shared" si="171"/>
        <v>0.33408399999999994</v>
      </c>
      <c r="AL185" s="53">
        <f t="shared" si="172"/>
        <v>0.16495936176164655</v>
      </c>
      <c r="AM185" s="53">
        <f t="shared" si="173"/>
        <v>25.502499999999998</v>
      </c>
      <c r="AN185" s="80">
        <f t="shared" si="174"/>
        <v>7.0774643660112393E-2</v>
      </c>
      <c r="AO185" s="80">
        <f t="shared" si="175"/>
        <v>4.6944444444444455</v>
      </c>
      <c r="AP185" s="145">
        <f t="shared" si="176"/>
        <v>4.4837423884179793E-2</v>
      </c>
      <c r="AQ185" s="145">
        <f t="shared" si="177"/>
        <v>1.8841267946868252</v>
      </c>
      <c r="AR185" s="100">
        <f t="shared" si="178"/>
        <v>1.0779522649770963</v>
      </c>
      <c r="AS185" s="100">
        <f t="shared" si="179"/>
        <v>1089</v>
      </c>
      <c r="AT185" s="25">
        <f t="shared" si="180"/>
        <v>4.1237989411269757E-2</v>
      </c>
      <c r="AU185" s="25">
        <f t="shared" si="181"/>
        <v>1.5937631698777779</v>
      </c>
      <c r="AV185" s="53">
        <f t="shared" ref="AV185:AV191" si="190">AA185*P185</f>
        <v>1.1432827052787384</v>
      </c>
      <c r="AW185" s="53">
        <f t="shared" ref="AW185:AW191" si="191">AA185^2</f>
        <v>1225</v>
      </c>
      <c r="AX185" s="100">
        <f t="shared" ref="AX185:AX191" si="192">P185*R185</f>
        <v>1.4470692526813747</v>
      </c>
      <c r="AY185" s="100">
        <f t="shared" ref="AY185:AY191" si="193">R185*R185</f>
        <v>1962.4899999999998</v>
      </c>
    </row>
    <row r="186" spans="1:96" s="62" customFormat="1" ht="14">
      <c r="A186" s="46" t="s">
        <v>177</v>
      </c>
      <c r="B186" s="47">
        <v>3</v>
      </c>
      <c r="C186" s="47">
        <v>3</v>
      </c>
      <c r="D186" s="48" t="s">
        <v>3</v>
      </c>
      <c r="E186" s="49">
        <f t="shared" si="162"/>
        <v>1.6666666666666665</v>
      </c>
      <c r="F186" s="49">
        <v>22.6</v>
      </c>
      <c r="G186" s="49">
        <f t="shared" si="184"/>
        <v>0.73718666666666688</v>
      </c>
      <c r="H186" s="49">
        <f t="shared" si="187"/>
        <v>0.74359333333333344</v>
      </c>
      <c r="I186" s="49">
        <v>0.75</v>
      </c>
      <c r="J186" s="49">
        <f t="shared" si="163"/>
        <v>0.37</v>
      </c>
      <c r="K186" s="49">
        <f t="shared" si="164"/>
        <v>0.49333333333333335</v>
      </c>
      <c r="L186" s="49">
        <v>0.56999999999999995</v>
      </c>
      <c r="M186" s="49">
        <v>0.4</v>
      </c>
      <c r="N186" s="49">
        <f t="shared" si="165"/>
        <v>0.21701492537313433</v>
      </c>
      <c r="O186" s="49">
        <f t="shared" si="182"/>
        <v>11.282309711117465</v>
      </c>
      <c r="P186" s="49">
        <f t="shared" si="166"/>
        <v>0.23310829673541283</v>
      </c>
      <c r="Q186" s="49">
        <f t="shared" si="167"/>
        <v>0.77777777777777779</v>
      </c>
      <c r="R186" s="49">
        <v>27.5</v>
      </c>
      <c r="S186" s="49">
        <f>0.29</f>
        <v>0.28999999999999998</v>
      </c>
      <c r="T186" s="49">
        <f t="shared" si="188"/>
        <v>0.28249999999999997</v>
      </c>
      <c r="U186" s="49">
        <v>0.44800000000000001</v>
      </c>
      <c r="V186" s="49">
        <v>0.48</v>
      </c>
      <c r="W186" s="49">
        <f t="shared" si="189"/>
        <v>0.4326666666666667</v>
      </c>
      <c r="X186" s="49">
        <f>17/105</f>
        <v>0.16190476190476191</v>
      </c>
      <c r="Y186" s="49">
        <f>X186</f>
        <v>0.16190476190476191</v>
      </c>
      <c r="Z186" s="49">
        <f t="shared" si="183"/>
        <v>1.9781591037945865</v>
      </c>
      <c r="AA186" s="49">
        <v>35</v>
      </c>
      <c r="AB186" s="49">
        <v>7.9</v>
      </c>
      <c r="AC186" s="49">
        <v>45</v>
      </c>
      <c r="AD186" s="49"/>
      <c r="AE186" s="49">
        <v>6.3</v>
      </c>
      <c r="AF186" s="131">
        <f t="shared" si="168"/>
        <v>0.17533281344380486</v>
      </c>
      <c r="AG186" s="133">
        <v>1</v>
      </c>
      <c r="AH186" s="133">
        <v>27</v>
      </c>
      <c r="AI186" s="57">
        <f t="shared" si="169"/>
        <v>6.7601406053269711E-2</v>
      </c>
      <c r="AJ186" s="57">
        <f t="shared" si="170"/>
        <v>5.4339478006885281E-2</v>
      </c>
      <c r="AK186" s="57">
        <f t="shared" si="171"/>
        <v>8.4099999999999994E-2</v>
      </c>
      <c r="AL186" s="53">
        <f t="shared" si="172"/>
        <v>1.4685822694331008</v>
      </c>
      <c r="AM186" s="53">
        <f t="shared" si="173"/>
        <v>39.69</v>
      </c>
      <c r="AN186" s="80">
        <f t="shared" si="174"/>
        <v>0.38851382789235467</v>
      </c>
      <c r="AO186" s="80">
        <f t="shared" si="175"/>
        <v>2.7777777777777772</v>
      </c>
      <c r="AP186" s="145">
        <f t="shared" si="176"/>
        <v>0.46112529935720681</v>
      </c>
      <c r="AQ186" s="145">
        <f t="shared" si="177"/>
        <v>3.9131134399254015</v>
      </c>
      <c r="AR186" s="100">
        <f t="shared" si="178"/>
        <v>10.489873353093577</v>
      </c>
      <c r="AS186" s="100">
        <f t="shared" si="179"/>
        <v>2025</v>
      </c>
      <c r="AT186" s="25">
        <f t="shared" si="180"/>
        <v>0.17333777539714143</v>
      </c>
      <c r="AU186" s="25">
        <f t="shared" si="181"/>
        <v>0.55293104537777793</v>
      </c>
      <c r="AV186" s="53">
        <f t="shared" si="190"/>
        <v>8.158790385739449</v>
      </c>
      <c r="AW186" s="53">
        <f t="shared" si="191"/>
        <v>1225</v>
      </c>
      <c r="AX186" s="100">
        <f t="shared" si="192"/>
        <v>6.4104781602238532</v>
      </c>
      <c r="AY186" s="100">
        <f t="shared" si="193"/>
        <v>756.25</v>
      </c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  <c r="BM186" s="15"/>
      <c r="BN186" s="15"/>
      <c r="BO186" s="15"/>
      <c r="BP186" s="15"/>
      <c r="BQ186" s="15"/>
      <c r="BR186" s="15"/>
      <c r="BS186" s="15"/>
      <c r="BT186" s="15"/>
      <c r="BU186" s="15"/>
      <c r="BV186" s="15"/>
      <c r="BW186" s="15"/>
      <c r="BX186" s="15"/>
      <c r="BY186" s="15"/>
      <c r="BZ186" s="15"/>
      <c r="CA186" s="15"/>
      <c r="CB186" s="15"/>
      <c r="CC186" s="15"/>
      <c r="CD186" s="15"/>
      <c r="CE186" s="15"/>
      <c r="CF186" s="15"/>
      <c r="CG186" s="15"/>
      <c r="CH186" s="15"/>
      <c r="CI186" s="15"/>
      <c r="CJ186" s="15"/>
      <c r="CK186" s="15"/>
      <c r="CL186" s="15"/>
      <c r="CM186" s="15"/>
      <c r="CN186" s="15"/>
      <c r="CO186" s="15"/>
      <c r="CP186" s="15"/>
      <c r="CQ186" s="15"/>
      <c r="CR186" s="15"/>
    </row>
    <row r="187" spans="1:96" s="122" customFormat="1" ht="14">
      <c r="A187" s="54" t="s">
        <v>178</v>
      </c>
      <c r="B187" s="55">
        <v>6</v>
      </c>
      <c r="C187" s="55">
        <v>5</v>
      </c>
      <c r="D187" s="56" t="s">
        <v>4</v>
      </c>
      <c r="E187" s="57">
        <f t="shared" si="162"/>
        <v>2.5</v>
      </c>
      <c r="F187" s="57">
        <v>30</v>
      </c>
      <c r="G187" s="57">
        <f t="shared" si="184"/>
        <v>1.306</v>
      </c>
      <c r="H187" s="57">
        <f t="shared" si="187"/>
        <v>1.153</v>
      </c>
      <c r="I187" s="57">
        <v>1</v>
      </c>
      <c r="J187" s="25">
        <f t="shared" si="163"/>
        <v>0.748</v>
      </c>
      <c r="K187" s="57">
        <f t="shared" si="164"/>
        <v>0.99733333333333329</v>
      </c>
      <c r="L187" s="57">
        <v>0.33</v>
      </c>
      <c r="M187" s="57">
        <v>0.2</v>
      </c>
      <c r="N187" s="70">
        <f t="shared" si="165"/>
        <v>0.10985074626865672</v>
      </c>
      <c r="O187" s="57">
        <f t="shared" si="182"/>
        <v>284.42232658230176</v>
      </c>
      <c r="P187" s="57">
        <f t="shared" si="166"/>
        <v>9.2468127646757395E-3</v>
      </c>
      <c r="Q187" s="57">
        <f t="shared" si="167"/>
        <v>0.5</v>
      </c>
      <c r="R187" s="57">
        <v>36</v>
      </c>
      <c r="S187" s="57">
        <f>1-0.815</f>
        <v>0.18500000000000005</v>
      </c>
      <c r="T187" s="57">
        <f t="shared" si="188"/>
        <v>0.27250000000000002</v>
      </c>
      <c r="U187" s="57">
        <v>0.439</v>
      </c>
      <c r="V187" s="57">
        <f>1-0.33</f>
        <v>0.66999999999999993</v>
      </c>
      <c r="W187" s="57">
        <f t="shared" si="189"/>
        <v>0.61899999999999999</v>
      </c>
      <c r="X187" s="57">
        <v>-0.05</v>
      </c>
      <c r="Y187" s="57">
        <f>X187</f>
        <v>-0.05</v>
      </c>
      <c r="Z187" s="57">
        <f t="shared" si="183"/>
        <v>1.5231034549440683</v>
      </c>
      <c r="AA187" s="57">
        <v>19.5</v>
      </c>
      <c r="AB187" s="57">
        <v>2.4</v>
      </c>
      <c r="AC187" s="57">
        <v>8.25</v>
      </c>
      <c r="AD187" s="75"/>
      <c r="AE187" s="57">
        <v>2.52</v>
      </c>
      <c r="AF187" s="131">
        <f t="shared" si="168"/>
        <v>5.355076984448111E-3</v>
      </c>
      <c r="AG187" s="39">
        <v>1</v>
      </c>
      <c r="AH187" s="39">
        <v>18</v>
      </c>
      <c r="AI187" s="57">
        <f t="shared" si="169"/>
        <v>1.7106603614650124E-3</v>
      </c>
      <c r="AJ187" s="57">
        <f t="shared" si="170"/>
        <v>8.5503546304970199E-5</v>
      </c>
      <c r="AK187" s="57">
        <f t="shared" si="171"/>
        <v>3.4225000000000019E-2</v>
      </c>
      <c r="AL187" s="53">
        <f t="shared" si="172"/>
        <v>2.3301968166982864E-2</v>
      </c>
      <c r="AM187" s="53">
        <f t="shared" si="173"/>
        <v>6.3504000000000005</v>
      </c>
      <c r="AN187" s="80">
        <f t="shared" si="174"/>
        <v>2.3117031911689349E-2</v>
      </c>
      <c r="AO187" s="80">
        <f t="shared" si="175"/>
        <v>6.25</v>
      </c>
      <c r="AP187" s="145">
        <f t="shared" si="176"/>
        <v>1.408385246909853E-2</v>
      </c>
      <c r="AQ187" s="145">
        <f t="shared" si="177"/>
        <v>2.3198441344625573</v>
      </c>
      <c r="AR187" s="100">
        <f t="shared" si="178"/>
        <v>7.6286205308574856E-2</v>
      </c>
      <c r="AS187" s="100">
        <f t="shared" si="179"/>
        <v>68.0625</v>
      </c>
      <c r="AT187" s="25">
        <f t="shared" si="180"/>
        <v>1.0661575117671128E-2</v>
      </c>
      <c r="AU187" s="25">
        <f t="shared" si="181"/>
        <v>1.3294090000000001</v>
      </c>
      <c r="AV187" s="53">
        <f t="shared" si="190"/>
        <v>0.18031284891117691</v>
      </c>
      <c r="AW187" s="53">
        <f t="shared" si="191"/>
        <v>380.25</v>
      </c>
      <c r="AX187" s="100">
        <f t="shared" si="192"/>
        <v>0.33288525952832659</v>
      </c>
      <c r="AY187" s="100">
        <f t="shared" si="193"/>
        <v>1296</v>
      </c>
    </row>
    <row r="188" spans="1:96" s="53" customFormat="1" ht="14">
      <c r="A188" s="102" t="s">
        <v>179</v>
      </c>
      <c r="B188" s="103">
        <v>1</v>
      </c>
      <c r="C188" s="103">
        <v>1</v>
      </c>
      <c r="D188" s="104" t="s">
        <v>8</v>
      </c>
      <c r="E188" s="105">
        <f t="shared" si="162"/>
        <v>1</v>
      </c>
      <c r="F188" s="105">
        <v>28.5</v>
      </c>
      <c r="G188" s="105">
        <f t="shared" si="184"/>
        <v>1.1907000000000001</v>
      </c>
      <c r="H188" s="105">
        <f t="shared" si="187"/>
        <v>1.09535</v>
      </c>
      <c r="I188" s="105">
        <v>1</v>
      </c>
      <c r="J188" s="105">
        <f t="shared" si="163"/>
        <v>0.18399999999999994</v>
      </c>
      <c r="K188" s="105">
        <f t="shared" si="164"/>
        <v>0.24533333333333326</v>
      </c>
      <c r="L188" s="105">
        <v>4.29</v>
      </c>
      <c r="M188" s="105">
        <v>0.8</v>
      </c>
      <c r="N188" s="105">
        <f t="shared" si="165"/>
        <v>0.52805970149253734</v>
      </c>
      <c r="O188" s="105">
        <f t="shared" si="182"/>
        <v>6.4801459601555633</v>
      </c>
      <c r="P188" s="105">
        <f t="shared" si="166"/>
        <v>0.40585505576125386</v>
      </c>
      <c r="Q188" s="105">
        <f t="shared" si="167"/>
        <v>1</v>
      </c>
      <c r="R188" s="105">
        <v>34</v>
      </c>
      <c r="S188" s="105">
        <f>1-0.849</f>
        <v>0.15100000000000002</v>
      </c>
      <c r="T188" s="105">
        <f t="shared" si="188"/>
        <v>0.24550000000000002</v>
      </c>
      <c r="U188" s="105">
        <v>0.79500000000000004</v>
      </c>
      <c r="V188" s="105">
        <v>0.89</v>
      </c>
      <c r="W188" s="105">
        <f t="shared" si="189"/>
        <v>0.623</v>
      </c>
      <c r="X188" s="105">
        <f>-3/102</f>
        <v>-2.9411764705882353E-2</v>
      </c>
      <c r="Y188" s="105">
        <f>X188</f>
        <v>-2.9411764705882353E-2</v>
      </c>
      <c r="Z188" s="105">
        <f t="shared" si="183"/>
        <v>2.3142559576484043</v>
      </c>
      <c r="AA188" s="105">
        <v>14</v>
      </c>
      <c r="AB188" s="105">
        <v>7.9</v>
      </c>
      <c r="AC188" s="105">
        <v>63</v>
      </c>
      <c r="AD188" s="105"/>
      <c r="AE188" s="105">
        <v>8.16</v>
      </c>
      <c r="AF188" s="131">
        <f t="shared" si="168"/>
        <v>0.35713022081262624</v>
      </c>
      <c r="AG188" s="105">
        <v>1</v>
      </c>
      <c r="AH188" s="105">
        <v>23</v>
      </c>
      <c r="AI188" s="135">
        <f t="shared" si="169"/>
        <v>6.128411341994934E-2</v>
      </c>
      <c r="AJ188" s="57">
        <f t="shared" si="170"/>
        <v>0.16471832628697047</v>
      </c>
      <c r="AK188" s="57">
        <f t="shared" si="171"/>
        <v>2.2801000000000005E-2</v>
      </c>
      <c r="AL188" s="53">
        <f t="shared" si="172"/>
        <v>3.3117772550118314</v>
      </c>
      <c r="AM188" s="53">
        <f t="shared" si="173"/>
        <v>66.585599999999999</v>
      </c>
      <c r="AN188" s="80">
        <f t="shared" si="174"/>
        <v>0.40585505576125386</v>
      </c>
      <c r="AO188" s="80">
        <f t="shared" si="175"/>
        <v>1</v>
      </c>
      <c r="AP188" s="145">
        <f t="shared" si="176"/>
        <v>0.93925248073720713</v>
      </c>
      <c r="AQ188" s="145">
        <f t="shared" si="177"/>
        <v>5.355780637511133</v>
      </c>
      <c r="AR188" s="100">
        <f t="shared" si="178"/>
        <v>25.568868512958993</v>
      </c>
      <c r="AS188" s="100">
        <f t="shared" si="179"/>
        <v>3969</v>
      </c>
      <c r="AT188" s="25">
        <f t="shared" si="180"/>
        <v>0.44455333532808944</v>
      </c>
      <c r="AU188" s="25">
        <f t="shared" si="181"/>
        <v>1.1997916225</v>
      </c>
      <c r="AV188" s="53">
        <f t="shared" si="190"/>
        <v>5.6819707806575543</v>
      </c>
      <c r="AW188" s="53">
        <f t="shared" si="191"/>
        <v>196</v>
      </c>
      <c r="AX188" s="100">
        <f t="shared" si="192"/>
        <v>13.799071895882632</v>
      </c>
      <c r="AY188" s="100">
        <f t="shared" si="193"/>
        <v>1156</v>
      </c>
      <c r="AZ188" s="15"/>
      <c r="BA188" s="15"/>
      <c r="BB188" s="15"/>
      <c r="BC188" s="15"/>
      <c r="BD188" s="15"/>
      <c r="BE188" s="15"/>
      <c r="BF188" s="15"/>
      <c r="BG188" s="15"/>
      <c r="BH188" s="15"/>
      <c r="BI188" s="15"/>
      <c r="BJ188" s="15"/>
      <c r="BK188" s="15"/>
      <c r="BL188" s="15"/>
      <c r="BM188" s="15"/>
      <c r="BN188" s="15"/>
      <c r="BO188" s="15"/>
      <c r="BP188" s="15"/>
      <c r="BQ188" s="15"/>
      <c r="BR188" s="15"/>
      <c r="BS188" s="15"/>
      <c r="BT188" s="15"/>
      <c r="BU188" s="15"/>
      <c r="BV188" s="15"/>
      <c r="BW188" s="15"/>
      <c r="BX188" s="15"/>
      <c r="BY188" s="15"/>
      <c r="BZ188" s="15"/>
      <c r="CA188" s="15"/>
      <c r="CB188" s="15"/>
      <c r="CC188" s="15"/>
      <c r="CD188" s="15"/>
      <c r="CE188" s="15"/>
      <c r="CF188" s="15"/>
      <c r="CG188" s="15"/>
      <c r="CH188" s="15"/>
      <c r="CI188" s="15"/>
      <c r="CJ188" s="15"/>
      <c r="CK188" s="15"/>
      <c r="CL188" s="15"/>
      <c r="CM188" s="15"/>
      <c r="CN188" s="15"/>
      <c r="CO188" s="15"/>
      <c r="CP188" s="15"/>
      <c r="CQ188" s="15"/>
      <c r="CR188" s="15"/>
    </row>
    <row r="189" spans="1:96" s="107" customFormat="1" ht="14">
      <c r="A189" s="102" t="s">
        <v>180</v>
      </c>
      <c r="B189" s="103">
        <v>1</v>
      </c>
      <c r="C189" s="103">
        <v>1</v>
      </c>
      <c r="D189" s="104" t="s">
        <v>8</v>
      </c>
      <c r="E189" s="105">
        <f t="shared" si="162"/>
        <v>1</v>
      </c>
      <c r="F189" s="105">
        <v>30</v>
      </c>
      <c r="G189" s="105">
        <f t="shared" si="184"/>
        <v>1.306</v>
      </c>
      <c r="H189" s="105">
        <f t="shared" si="187"/>
        <v>1.3180000000000001</v>
      </c>
      <c r="I189" s="105">
        <v>1.33</v>
      </c>
      <c r="J189" s="105">
        <f t="shared" si="163"/>
        <v>0.18200000000000005</v>
      </c>
      <c r="K189" s="105">
        <f t="shared" si="164"/>
        <v>0.24266666666666672</v>
      </c>
      <c r="L189" s="105">
        <v>16.75</v>
      </c>
      <c r="M189" s="105">
        <v>1</v>
      </c>
      <c r="N189" s="105">
        <f t="shared" si="165"/>
        <v>1</v>
      </c>
      <c r="O189" s="105">
        <f t="shared" si="182"/>
        <v>12.944444069018425</v>
      </c>
      <c r="P189" s="105">
        <f t="shared" si="166"/>
        <v>0.20317597155792202</v>
      </c>
      <c r="Q189" s="105">
        <f t="shared" si="167"/>
        <v>1</v>
      </c>
      <c r="R189" s="105">
        <v>45</v>
      </c>
      <c r="S189" s="105">
        <f>1-0.902</f>
        <v>9.7999999999999976E-2</v>
      </c>
      <c r="T189" s="105">
        <f t="shared" si="188"/>
        <v>0.27400000000000002</v>
      </c>
      <c r="U189" s="105">
        <v>0.69399999999999995</v>
      </c>
      <c r="V189" s="105">
        <v>0.85</v>
      </c>
      <c r="W189" s="105">
        <f t="shared" si="189"/>
        <v>0.57533333333333336</v>
      </c>
      <c r="X189" s="105">
        <f>-23/105</f>
        <v>-0.21904761904761905</v>
      </c>
      <c r="Y189" s="105">
        <f>(X189+0.3)/2</f>
        <v>4.0476190476190471E-2</v>
      </c>
      <c r="Z189" s="105">
        <f t="shared" si="183"/>
        <v>2.4346658612424643</v>
      </c>
      <c r="AA189" s="105">
        <v>15.1</v>
      </c>
      <c r="AB189" s="105">
        <v>9.6999999999999993</v>
      </c>
      <c r="AC189" s="105">
        <v>315</v>
      </c>
      <c r="AD189" s="105"/>
      <c r="AE189" s="105">
        <v>8.18</v>
      </c>
      <c r="AF189" s="131">
        <f t="shared" si="168"/>
        <v>0.18808578014328617</v>
      </c>
      <c r="AG189" s="105">
        <v>1</v>
      </c>
      <c r="AH189" s="70">
        <v>3</v>
      </c>
      <c r="AI189" s="135">
        <f t="shared" si="169"/>
        <v>1.9911245212676353E-2</v>
      </c>
      <c r="AJ189" s="57">
        <f t="shared" si="170"/>
        <v>4.128047541850554E-2</v>
      </c>
      <c r="AK189" s="57">
        <f t="shared" si="171"/>
        <v>9.6039999999999945E-3</v>
      </c>
      <c r="AL189" s="53">
        <f t="shared" si="172"/>
        <v>1.6619794473438021</v>
      </c>
      <c r="AM189" s="53">
        <f t="shared" si="173"/>
        <v>66.912399999999991</v>
      </c>
      <c r="AN189" s="80">
        <f t="shared" si="174"/>
        <v>0.20317597155792202</v>
      </c>
      <c r="AO189" s="80">
        <f t="shared" si="175"/>
        <v>1</v>
      </c>
      <c r="AP189" s="145">
        <f t="shared" si="176"/>
        <v>0.49466560177684266</v>
      </c>
      <c r="AQ189" s="145">
        <f t="shared" si="177"/>
        <v>5.9275978558995108</v>
      </c>
      <c r="AR189" s="100">
        <f t="shared" si="178"/>
        <v>64.00043104074544</v>
      </c>
      <c r="AS189" s="100">
        <f t="shared" si="179"/>
        <v>99225</v>
      </c>
      <c r="AT189" s="25">
        <f t="shared" si="180"/>
        <v>0.26778593051334126</v>
      </c>
      <c r="AU189" s="25">
        <f t="shared" si="181"/>
        <v>1.7371240000000001</v>
      </c>
      <c r="AV189" s="53">
        <f t="shared" si="190"/>
        <v>3.0679571705246227</v>
      </c>
      <c r="AW189" s="53">
        <f t="shared" si="191"/>
        <v>228.01</v>
      </c>
      <c r="AX189" s="100">
        <f t="shared" si="192"/>
        <v>9.1429187201064916</v>
      </c>
      <c r="AY189" s="100">
        <f t="shared" si="193"/>
        <v>2025</v>
      </c>
    </row>
    <row r="190" spans="1:96" s="13" customFormat="1" ht="14">
      <c r="A190" s="58" t="s">
        <v>181</v>
      </c>
      <c r="B190" s="59">
        <v>1</v>
      </c>
      <c r="C190" s="59">
        <v>1</v>
      </c>
      <c r="D190" s="60" t="s">
        <v>8</v>
      </c>
      <c r="E190" s="61">
        <f t="shared" si="162"/>
        <v>1</v>
      </c>
      <c r="F190" s="61">
        <v>32.9</v>
      </c>
      <c r="G190" s="61">
        <f t="shared" si="184"/>
        <v>1.5289133333333336</v>
      </c>
      <c r="H190" s="61">
        <f t="shared" si="187"/>
        <v>1.1394566666666668</v>
      </c>
      <c r="I190" s="61">
        <v>0.75</v>
      </c>
      <c r="J190" s="61">
        <f t="shared" si="163"/>
        <v>0.19000000000000006</v>
      </c>
      <c r="K190" s="61">
        <f t="shared" si="164"/>
        <v>0.25333333333333341</v>
      </c>
      <c r="L190" s="61">
        <v>0.15</v>
      </c>
      <c r="M190" s="61">
        <v>0.2</v>
      </c>
      <c r="N190" s="61">
        <f t="shared" si="165"/>
        <v>0.10447761194029852</v>
      </c>
      <c r="O190" s="61">
        <f t="shared" si="182"/>
        <v>4.4694600714286983</v>
      </c>
      <c r="P190" s="61">
        <f t="shared" si="166"/>
        <v>0.58843796744319044</v>
      </c>
      <c r="Q190" s="61">
        <f t="shared" si="167"/>
        <v>1</v>
      </c>
      <c r="R190" s="61">
        <v>42.4</v>
      </c>
      <c r="S190" s="61">
        <f>1-0.765</f>
        <v>0.23499999999999999</v>
      </c>
      <c r="T190" s="61">
        <f t="shared" si="188"/>
        <v>0.32950000000000002</v>
      </c>
      <c r="U190" s="61">
        <v>0.49199999999999999</v>
      </c>
      <c r="V190" s="61">
        <v>0.4</v>
      </c>
      <c r="W190" s="61">
        <f t="shared" si="189"/>
        <v>0.36066666666666669</v>
      </c>
      <c r="X190" s="61">
        <f>17/135</f>
        <v>0.12592592592592591</v>
      </c>
      <c r="Y190" s="61">
        <f>X190</f>
        <v>0.12592592592592591</v>
      </c>
      <c r="Z190" s="61">
        <f t="shared" si="183"/>
        <v>2.2616453799010783</v>
      </c>
      <c r="AA190" s="61">
        <v>20.9</v>
      </c>
      <c r="AB190" s="61">
        <v>6.3</v>
      </c>
      <c r="AC190" s="61">
        <v>3.2</v>
      </c>
      <c r="AD190" s="61"/>
      <c r="AE190" s="61">
        <v>8.1</v>
      </c>
      <c r="AF190" s="131">
        <f t="shared" si="168"/>
        <v>0.50602205719630144</v>
      </c>
      <c r="AG190" s="61">
        <v>1</v>
      </c>
      <c r="AH190" s="61">
        <v>39</v>
      </c>
      <c r="AI190" s="57">
        <f t="shared" si="169"/>
        <v>0.13828292234914974</v>
      </c>
      <c r="AJ190" s="57">
        <f t="shared" si="170"/>
        <v>0.34625924152867327</v>
      </c>
      <c r="AK190" s="57">
        <f t="shared" si="171"/>
        <v>5.5224999999999996E-2</v>
      </c>
      <c r="AL190" s="53">
        <f t="shared" si="172"/>
        <v>4.7663475362898424</v>
      </c>
      <c r="AM190" s="53">
        <f t="shared" si="173"/>
        <v>65.61</v>
      </c>
      <c r="AN190" s="80">
        <f t="shared" si="174"/>
        <v>0.58843796744319044</v>
      </c>
      <c r="AO190" s="80">
        <f t="shared" si="175"/>
        <v>1</v>
      </c>
      <c r="AP190" s="145">
        <f t="shared" si="176"/>
        <v>1.3308380104262727</v>
      </c>
      <c r="AQ190" s="145">
        <f t="shared" si="177"/>
        <v>5.1150398244278925</v>
      </c>
      <c r="AR190" s="100">
        <f t="shared" si="178"/>
        <v>1.8830014958182095</v>
      </c>
      <c r="AS190" s="100">
        <f t="shared" si="179"/>
        <v>10.240000000000002</v>
      </c>
      <c r="AT190" s="25">
        <f t="shared" si="180"/>
        <v>0.67049956492292639</v>
      </c>
      <c r="AU190" s="25">
        <f t="shared" si="181"/>
        <v>1.2983614952111113</v>
      </c>
      <c r="AV190" s="53">
        <f t="shared" si="190"/>
        <v>12.29835351956268</v>
      </c>
      <c r="AW190" s="53">
        <f t="shared" si="191"/>
        <v>436.80999999999995</v>
      </c>
      <c r="AX190" s="100">
        <f t="shared" si="192"/>
        <v>24.949769819591275</v>
      </c>
      <c r="AY190" s="100">
        <f t="shared" si="193"/>
        <v>1797.76</v>
      </c>
      <c r="AZ190" s="15"/>
      <c r="BA190" s="15"/>
      <c r="BB190" s="15"/>
      <c r="BC190" s="15"/>
      <c r="BD190" s="15"/>
      <c r="BE190" s="15"/>
      <c r="BF190" s="15"/>
      <c r="BG190" s="15"/>
      <c r="BH190" s="15"/>
      <c r="BI190" s="15"/>
      <c r="BJ190" s="15"/>
      <c r="BK190" s="15"/>
      <c r="BL190" s="15"/>
      <c r="BM190" s="15"/>
      <c r="BN190" s="15"/>
      <c r="BO190" s="15"/>
      <c r="BP190" s="15"/>
      <c r="BQ190" s="15"/>
      <c r="BR190" s="15"/>
      <c r="BS190" s="15"/>
      <c r="BT190" s="15"/>
      <c r="BU190" s="15"/>
      <c r="BV190" s="15"/>
      <c r="BW190" s="15"/>
      <c r="BX190" s="15"/>
      <c r="BY190" s="15"/>
      <c r="BZ190" s="15"/>
      <c r="CA190" s="15"/>
      <c r="CB190" s="15"/>
      <c r="CC190" s="15"/>
      <c r="CD190" s="15"/>
      <c r="CE190" s="15"/>
      <c r="CF190" s="15"/>
      <c r="CG190" s="15"/>
      <c r="CH190" s="15"/>
      <c r="CI190" s="15"/>
      <c r="CJ190" s="15"/>
      <c r="CK190" s="15"/>
      <c r="CL190" s="15"/>
      <c r="CM190" s="15"/>
      <c r="CN190" s="15"/>
      <c r="CO190" s="15"/>
      <c r="CP190" s="15"/>
      <c r="CQ190" s="15"/>
      <c r="CR190" s="15"/>
    </row>
    <row r="191" spans="1:96" s="13" customFormat="1" ht="14">
      <c r="A191" s="16" t="s">
        <v>182</v>
      </c>
      <c r="B191" s="14">
        <v>7</v>
      </c>
      <c r="C191" s="14">
        <v>7</v>
      </c>
      <c r="D191" s="22" t="s">
        <v>4</v>
      </c>
      <c r="E191" s="15">
        <f t="shared" si="162"/>
        <v>3</v>
      </c>
      <c r="F191" s="15">
        <v>29.6</v>
      </c>
      <c r="G191" s="25">
        <f t="shared" si="184"/>
        <v>1.2752533333333336</v>
      </c>
      <c r="H191" s="15">
        <f t="shared" si="187"/>
        <v>1.0126266666666668</v>
      </c>
      <c r="I191" s="15">
        <v>0.75</v>
      </c>
      <c r="J191" s="25">
        <f t="shared" si="163"/>
        <v>0.82600000000000007</v>
      </c>
      <c r="K191" s="57">
        <f t="shared" si="164"/>
        <v>1.1013333333333335</v>
      </c>
      <c r="L191" s="15">
        <v>0.14000000000000001</v>
      </c>
      <c r="M191" s="15">
        <v>0.2</v>
      </c>
      <c r="N191" s="70">
        <f t="shared" si="165"/>
        <v>0.10417910447761194</v>
      </c>
      <c r="O191" s="53">
        <f t="shared" si="182"/>
        <v>776.20550676890593</v>
      </c>
      <c r="P191" s="25">
        <f t="shared" si="166"/>
        <v>3.3882779458082493E-3</v>
      </c>
      <c r="Q191" s="15">
        <f t="shared" si="167"/>
        <v>0.33333333333333337</v>
      </c>
      <c r="R191" s="15">
        <v>36.799999999999997</v>
      </c>
      <c r="S191" s="15">
        <v>0.38300000000000001</v>
      </c>
      <c r="T191" s="15">
        <f t="shared" si="188"/>
        <v>0.3755</v>
      </c>
      <c r="U191" s="15">
        <v>7.6999999999999999E-2</v>
      </c>
      <c r="V191" s="15">
        <v>0.28999999999999998</v>
      </c>
      <c r="W191" s="15">
        <f t="shared" si="189"/>
        <v>0.39766666666666667</v>
      </c>
      <c r="X191" s="15" t="s">
        <v>225</v>
      </c>
      <c r="Y191" s="15">
        <v>0.1</v>
      </c>
      <c r="Z191" s="25">
        <f t="shared" si="183"/>
        <v>1.3378389062691889</v>
      </c>
      <c r="AA191" s="15">
        <v>26</v>
      </c>
      <c r="AB191" s="15">
        <v>1</v>
      </c>
      <c r="AC191" s="15">
        <v>29</v>
      </c>
      <c r="AD191" s="75"/>
      <c r="AE191" s="15">
        <v>1.74</v>
      </c>
      <c r="AF191" s="131">
        <f t="shared" si="168"/>
        <v>1.7235627608958642E-3</v>
      </c>
      <c r="AG191" s="15">
        <v>1</v>
      </c>
      <c r="AH191" s="15">
        <v>17</v>
      </c>
      <c r="AI191" s="57">
        <f t="shared" si="169"/>
        <v>1.2977104532445596E-3</v>
      </c>
      <c r="AJ191" s="57">
        <f t="shared" si="170"/>
        <v>1.148042743805057E-5</v>
      </c>
      <c r="AK191" s="57">
        <f t="shared" si="171"/>
        <v>0.14668900000000001</v>
      </c>
      <c r="AL191" s="53">
        <f t="shared" si="172"/>
        <v>5.895603625706354E-3</v>
      </c>
      <c r="AM191" s="53">
        <f t="shared" si="173"/>
        <v>3.0276000000000001</v>
      </c>
      <c r="AN191" s="80">
        <f t="shared" si="174"/>
        <v>1.0164833837424747E-2</v>
      </c>
      <c r="AO191" s="80">
        <f t="shared" si="175"/>
        <v>9</v>
      </c>
      <c r="AP191" s="145">
        <f t="shared" si="176"/>
        <v>4.5329700611561226E-3</v>
      </c>
      <c r="AQ191" s="145">
        <f t="shared" si="177"/>
        <v>1.7898129391275395</v>
      </c>
      <c r="AR191" s="100">
        <f t="shared" si="178"/>
        <v>9.8260060428439225E-2</v>
      </c>
      <c r="AS191" s="100">
        <f t="shared" si="179"/>
        <v>841</v>
      </c>
      <c r="AT191" s="25">
        <f t="shared" si="180"/>
        <v>3.4310606020039884E-3</v>
      </c>
      <c r="AU191" s="25">
        <f t="shared" si="181"/>
        <v>1.0254127660444448</v>
      </c>
      <c r="AV191" s="53">
        <f t="shared" si="190"/>
        <v>8.8095226591014486E-2</v>
      </c>
      <c r="AW191" s="53">
        <f t="shared" si="191"/>
        <v>676</v>
      </c>
      <c r="AX191" s="100">
        <f t="shared" si="192"/>
        <v>0.12468862840574356</v>
      </c>
      <c r="AY191" s="100">
        <f t="shared" si="193"/>
        <v>1354.2399999999998</v>
      </c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5"/>
      <c r="BO191" s="15"/>
      <c r="BP191" s="15"/>
      <c r="BQ191" s="15"/>
      <c r="BR191" s="15"/>
      <c r="BS191" s="15"/>
      <c r="BT191" s="15"/>
      <c r="BU191" s="15"/>
      <c r="BV191" s="15"/>
      <c r="BW191" s="15"/>
      <c r="BX191" s="15"/>
      <c r="BY191" s="15"/>
      <c r="BZ191" s="15"/>
      <c r="CA191" s="15"/>
      <c r="CB191" s="15"/>
      <c r="CC191" s="15"/>
      <c r="CD191" s="15"/>
      <c r="CE191" s="15"/>
      <c r="CF191" s="15"/>
      <c r="CG191" s="15"/>
      <c r="CH191" s="15"/>
      <c r="CI191" s="15"/>
      <c r="CJ191" s="15"/>
      <c r="CK191" s="15"/>
      <c r="CL191" s="15"/>
      <c r="CM191" s="15"/>
      <c r="CN191" s="15"/>
      <c r="CO191" s="15"/>
      <c r="CP191" s="15"/>
      <c r="CQ191" s="15"/>
      <c r="CR191" s="15"/>
    </row>
    <row r="192" spans="1:96" s="13" customFormat="1" ht="14">
      <c r="A192" s="16" t="s">
        <v>183</v>
      </c>
      <c r="B192" s="14">
        <v>2</v>
      </c>
      <c r="C192" s="14">
        <v>2</v>
      </c>
      <c r="D192" s="22" t="s">
        <v>8</v>
      </c>
      <c r="E192" s="15">
        <f t="shared" si="162"/>
        <v>1.3333333333333333</v>
      </c>
      <c r="F192" s="15"/>
      <c r="G192" s="25">
        <f t="shared" si="184"/>
        <v>-1</v>
      </c>
      <c r="H192" s="15">
        <v>0.67</v>
      </c>
      <c r="I192" s="15">
        <v>0.75</v>
      </c>
      <c r="J192" s="25">
        <f t="shared" si="163"/>
        <v>0.39</v>
      </c>
      <c r="K192" s="57">
        <f t="shared" si="164"/>
        <v>0.52</v>
      </c>
      <c r="L192" s="15">
        <v>0.04</v>
      </c>
      <c r="M192" s="15">
        <v>0.2</v>
      </c>
      <c r="N192" s="70">
        <f t="shared" si="165"/>
        <v>0.10119402985074627</v>
      </c>
      <c r="O192" s="53">
        <f t="shared" si="182"/>
        <v>5.5934263368652521</v>
      </c>
      <c r="P192" s="25">
        <f t="shared" si="166"/>
        <v>0.47019480397304064</v>
      </c>
      <c r="Q192" s="15">
        <f t="shared" si="167"/>
        <v>0.88888888888888895</v>
      </c>
      <c r="R192" s="15"/>
      <c r="S192" s="109">
        <v>0.23</v>
      </c>
      <c r="T192" s="70">
        <f>S192</f>
        <v>0.23</v>
      </c>
      <c r="U192" s="15"/>
      <c r="V192" s="15">
        <v>0.62</v>
      </c>
      <c r="W192" s="25">
        <f>(V192+K192)/2</f>
        <v>0.57000000000000006</v>
      </c>
      <c r="X192" s="15" t="s">
        <v>225</v>
      </c>
      <c r="Y192" s="15">
        <v>0.1</v>
      </c>
      <c r="Z192" s="25">
        <f t="shared" si="183"/>
        <v>2.2255409284924679</v>
      </c>
      <c r="AA192" s="15" t="s">
        <v>223</v>
      </c>
      <c r="AB192" s="15">
        <v>1.7</v>
      </c>
      <c r="AC192" s="15">
        <v>0.23400000000000001</v>
      </c>
      <c r="AD192" s="75"/>
      <c r="AE192" s="108">
        <v>6.1</v>
      </c>
      <c r="AF192" s="131">
        <f t="shared" si="168"/>
        <v>0.39788508768307784</v>
      </c>
      <c r="AG192" s="25"/>
      <c r="AH192" s="25">
        <v>45</v>
      </c>
      <c r="AI192" s="57">
        <f t="shared" si="169"/>
        <v>0.10814480491379935</v>
      </c>
      <c r="AJ192" s="57">
        <f t="shared" si="170"/>
        <v>0.2210831536832461</v>
      </c>
      <c r="AK192" s="57">
        <f t="shared" si="171"/>
        <v>5.2900000000000003E-2</v>
      </c>
      <c r="AL192" s="53">
        <f t="shared" si="172"/>
        <v>2.8681883042355478</v>
      </c>
      <c r="AM192" s="53">
        <f t="shared" si="173"/>
        <v>37.209999999999994</v>
      </c>
      <c r="AN192" s="80">
        <f t="shared" si="174"/>
        <v>0.62692640529738752</v>
      </c>
      <c r="AO192" s="80">
        <f t="shared" si="175"/>
        <v>1.7777777777777777</v>
      </c>
      <c r="AP192" s="145">
        <f t="shared" si="176"/>
        <v>1.0464377806064948</v>
      </c>
      <c r="AQ192" s="145">
        <f t="shared" si="177"/>
        <v>4.9530324243951158</v>
      </c>
      <c r="AR192" s="100">
        <f t="shared" si="178"/>
        <v>0.11002558412969152</v>
      </c>
      <c r="AS192" s="100">
        <f t="shared" si="179"/>
        <v>5.4756000000000006E-2</v>
      </c>
      <c r="AT192" s="25">
        <f t="shared" si="180"/>
        <v>0.31503051866193726</v>
      </c>
      <c r="AU192" s="25">
        <f t="shared" si="181"/>
        <v>0.44890000000000008</v>
      </c>
      <c r="AV192" s="53"/>
      <c r="AW192" s="53"/>
      <c r="AX192" s="100"/>
      <c r="AY192" s="100"/>
      <c r="AZ192" s="15"/>
      <c r="BA192" s="15"/>
      <c r="BB192" s="15"/>
      <c r="BC192" s="15"/>
      <c r="BD192" s="15"/>
      <c r="BE192" s="15"/>
      <c r="BF192" s="15"/>
      <c r="BG192" s="15"/>
      <c r="BH192" s="15"/>
      <c r="BI192" s="15"/>
      <c r="BJ192" s="15"/>
      <c r="BK192" s="15"/>
      <c r="BL192" s="15"/>
      <c r="BM192" s="15"/>
      <c r="BN192" s="15"/>
      <c r="BO192" s="15"/>
      <c r="BP192" s="15"/>
      <c r="BQ192" s="15"/>
      <c r="BR192" s="15"/>
      <c r="BS192" s="15"/>
      <c r="BT192" s="15"/>
      <c r="BU192" s="15"/>
      <c r="BV192" s="15"/>
      <c r="BW192" s="15"/>
      <c r="BX192" s="15"/>
      <c r="BY192" s="15"/>
      <c r="BZ192" s="15"/>
      <c r="CA192" s="15"/>
      <c r="CB192" s="15"/>
      <c r="CC192" s="15"/>
      <c r="CD192" s="15"/>
      <c r="CE192" s="15"/>
      <c r="CF192" s="15"/>
      <c r="CG192" s="15"/>
      <c r="CH192" s="15"/>
      <c r="CI192" s="15"/>
      <c r="CJ192" s="15"/>
      <c r="CK192" s="15"/>
      <c r="CL192" s="15"/>
      <c r="CM192" s="15"/>
      <c r="CN192" s="15"/>
      <c r="CO192" s="15"/>
      <c r="CP192" s="15"/>
      <c r="CQ192" s="15"/>
      <c r="CR192" s="15"/>
    </row>
    <row r="193" spans="1:96" s="57" customFormat="1" ht="14">
      <c r="A193" s="58" t="s">
        <v>184</v>
      </c>
      <c r="B193" s="59">
        <v>5</v>
      </c>
      <c r="C193" s="59">
        <v>5</v>
      </c>
      <c r="D193" s="60" t="s">
        <v>3</v>
      </c>
      <c r="E193" s="61">
        <f t="shared" si="162"/>
        <v>2.333333333333333</v>
      </c>
      <c r="F193" s="61">
        <v>32.700000000000003</v>
      </c>
      <c r="G193" s="61">
        <f t="shared" si="184"/>
        <v>1.5135400000000003</v>
      </c>
      <c r="H193" s="61">
        <f>(G193+I193)/2</f>
        <v>1.1317700000000002</v>
      </c>
      <c r="I193" s="61">
        <v>0.75</v>
      </c>
      <c r="J193" s="61">
        <f t="shared" si="163"/>
        <v>0.48199999999999998</v>
      </c>
      <c r="K193" s="61">
        <f t="shared" si="164"/>
        <v>0.64266666666666661</v>
      </c>
      <c r="L193" s="61">
        <v>1.0900000000000001</v>
      </c>
      <c r="M193" s="61">
        <v>0.4</v>
      </c>
      <c r="N193" s="61">
        <f t="shared" si="165"/>
        <v>0.23253731343283585</v>
      </c>
      <c r="O193" s="61">
        <f t="shared" si="182"/>
        <v>108.08730572503055</v>
      </c>
      <c r="P193" s="61">
        <f t="shared" si="166"/>
        <v>2.4332182048191733E-2</v>
      </c>
      <c r="Q193" s="61">
        <f t="shared" si="167"/>
        <v>0.55555555555555558</v>
      </c>
      <c r="R193" s="61">
        <v>39</v>
      </c>
      <c r="S193" s="61">
        <f>1-0.696</f>
        <v>0.30400000000000005</v>
      </c>
      <c r="T193" s="61">
        <f>(R193/100+S193)/2</f>
        <v>0.34700000000000003</v>
      </c>
      <c r="U193" s="61">
        <v>0.36</v>
      </c>
      <c r="V193" s="61">
        <f>1-0.42</f>
        <v>0.58000000000000007</v>
      </c>
      <c r="W193" s="61">
        <f>(V193+U193+J193)/3</f>
        <v>0.47400000000000003</v>
      </c>
      <c r="X193" s="61">
        <v>5.1999999999999998E-2</v>
      </c>
      <c r="Y193" s="61">
        <f>X193</f>
        <v>5.1999999999999998E-2</v>
      </c>
      <c r="Z193" s="61">
        <f t="shared" si="183"/>
        <v>1.6241750088442295</v>
      </c>
      <c r="AA193" s="61">
        <v>27</v>
      </c>
      <c r="AB193" s="61">
        <v>7.3</v>
      </c>
      <c r="AC193" s="61">
        <v>27</v>
      </c>
      <c r="AD193" s="61"/>
      <c r="AE193" s="61">
        <v>5.18</v>
      </c>
      <c r="AF193" s="131">
        <f t="shared" si="168"/>
        <v>1.5026510263620233E-2</v>
      </c>
      <c r="AG193" s="61">
        <v>1</v>
      </c>
      <c r="AH193" s="61">
        <v>39</v>
      </c>
      <c r="AI193" s="57">
        <f t="shared" si="169"/>
        <v>7.3969833426502877E-3</v>
      </c>
      <c r="AJ193" s="57">
        <f t="shared" si="170"/>
        <v>5.9205508322634397E-4</v>
      </c>
      <c r="AK193" s="57">
        <f t="shared" si="171"/>
        <v>9.2416000000000026E-2</v>
      </c>
      <c r="AL193" s="53">
        <f t="shared" si="172"/>
        <v>0.12604070300963316</v>
      </c>
      <c r="AM193" s="53">
        <f t="shared" si="173"/>
        <v>26.832399999999996</v>
      </c>
      <c r="AN193" s="80">
        <f t="shared" si="174"/>
        <v>5.6775091445780704E-2</v>
      </c>
      <c r="AO193" s="80">
        <f t="shared" si="175"/>
        <v>5.4444444444444429</v>
      </c>
      <c r="AP193" s="145">
        <f t="shared" si="176"/>
        <v>3.9519721993321211E-2</v>
      </c>
      <c r="AQ193" s="145">
        <f t="shared" si="177"/>
        <v>2.637944459354153</v>
      </c>
      <c r="AR193" s="100">
        <f t="shared" si="178"/>
        <v>0.65696891530117674</v>
      </c>
      <c r="AS193" s="100">
        <f t="shared" si="179"/>
        <v>729</v>
      </c>
      <c r="AT193" s="25">
        <f t="shared" si="180"/>
        <v>2.7538433676681962E-2</v>
      </c>
      <c r="AU193" s="25">
        <f t="shared" si="181"/>
        <v>1.2809033329000004</v>
      </c>
      <c r="AV193" s="53">
        <f>AA193*P193</f>
        <v>0.65696891530117674</v>
      </c>
      <c r="AW193" s="53">
        <f>AA193^2</f>
        <v>729</v>
      </c>
      <c r="AX193" s="100">
        <f>P193*R193</f>
        <v>0.94895509987947757</v>
      </c>
      <c r="AY193" s="100">
        <f>R193*R193</f>
        <v>1521</v>
      </c>
      <c r="AZ193" s="15"/>
      <c r="BA193" s="15"/>
      <c r="BB193" s="15"/>
      <c r="BC193" s="15"/>
      <c r="BD193" s="15"/>
      <c r="BE193" s="15"/>
      <c r="BF193" s="15"/>
      <c r="BG193" s="15"/>
      <c r="BH193" s="15"/>
      <c r="BI193" s="15"/>
      <c r="BJ193" s="15"/>
      <c r="BK193" s="15"/>
      <c r="BL193" s="15"/>
      <c r="BM193" s="15"/>
      <c r="BN193" s="15"/>
      <c r="BO193" s="15"/>
      <c r="BP193" s="15"/>
      <c r="BQ193" s="15"/>
      <c r="BR193" s="15"/>
      <c r="BS193" s="15"/>
      <c r="BT193" s="15"/>
      <c r="BU193" s="15"/>
      <c r="BV193" s="15"/>
      <c r="BW193" s="15"/>
      <c r="BX193" s="15"/>
      <c r="BY193" s="15"/>
      <c r="BZ193" s="15"/>
      <c r="CA193" s="15"/>
      <c r="CB193" s="15"/>
      <c r="CC193" s="15"/>
      <c r="CD193" s="15"/>
      <c r="CE193" s="15"/>
      <c r="CF193" s="15"/>
      <c r="CG193" s="15"/>
      <c r="CH193" s="15"/>
      <c r="CI193" s="15"/>
      <c r="CJ193" s="15"/>
      <c r="CK193" s="15"/>
      <c r="CL193" s="15"/>
      <c r="CM193" s="15"/>
      <c r="CN193" s="15"/>
      <c r="CO193" s="15"/>
      <c r="CP193" s="15"/>
      <c r="CQ193" s="15"/>
      <c r="CR193" s="15"/>
    </row>
    <row r="194" spans="1:96" s="115" customFormat="1" ht="14">
      <c r="A194" s="26" t="s">
        <v>185</v>
      </c>
      <c r="B194" s="24">
        <v>7</v>
      </c>
      <c r="C194" s="24">
        <v>5</v>
      </c>
      <c r="D194" s="27" t="s">
        <v>4</v>
      </c>
      <c r="E194" s="25">
        <f t="shared" si="162"/>
        <v>2.666666666666667</v>
      </c>
      <c r="F194" s="25">
        <v>30</v>
      </c>
      <c r="G194" s="25">
        <f t="shared" si="184"/>
        <v>1.306</v>
      </c>
      <c r="H194" s="25">
        <f>(G194+I194)/2</f>
        <v>1.153</v>
      </c>
      <c r="I194" s="25">
        <v>1</v>
      </c>
      <c r="J194" s="25">
        <f t="shared" si="163"/>
        <v>0.70599999999999996</v>
      </c>
      <c r="K194" s="25">
        <f t="shared" si="164"/>
        <v>0.94133333333333324</v>
      </c>
      <c r="L194" s="25">
        <v>0.21</v>
      </c>
      <c r="M194" s="25">
        <v>0.4</v>
      </c>
      <c r="N194" s="25">
        <f t="shared" si="165"/>
        <v>0.20626865671641792</v>
      </c>
      <c r="O194" s="25">
        <f t="shared" si="182"/>
        <v>461.71076263856901</v>
      </c>
      <c r="P194" s="25">
        <f t="shared" si="166"/>
        <v>5.6962068308093255E-3</v>
      </c>
      <c r="Q194" s="25">
        <f t="shared" si="167"/>
        <v>0.44444444444444431</v>
      </c>
      <c r="R194" s="25">
        <v>37.6</v>
      </c>
      <c r="S194" s="25">
        <f>1-0.572</f>
        <v>0.42800000000000005</v>
      </c>
      <c r="T194" s="25">
        <f>(R194/100+S194)/2</f>
        <v>0.40200000000000002</v>
      </c>
      <c r="U194" s="25">
        <v>0.57299999999999995</v>
      </c>
      <c r="V194" s="25">
        <v>0.42</v>
      </c>
      <c r="W194" s="25">
        <f>(V194+U194+J194)/3</f>
        <v>0.56633333333333324</v>
      </c>
      <c r="X194" s="25">
        <f>18/140</f>
        <v>0.12857142857142856</v>
      </c>
      <c r="Y194" s="25">
        <f>X194</f>
        <v>0.12857142857142856</v>
      </c>
      <c r="Z194" s="25">
        <f t="shared" si="183"/>
        <v>1.6282620638610517</v>
      </c>
      <c r="AA194" s="25">
        <v>14.5</v>
      </c>
      <c r="AB194" s="25">
        <v>2.2000000000000002</v>
      </c>
      <c r="AC194" s="25">
        <v>25</v>
      </c>
      <c r="AD194" s="25"/>
      <c r="AE194" s="25">
        <v>2.94</v>
      </c>
      <c r="AF194" s="131">
        <f t="shared" si="168"/>
        <v>3.5265845971532367E-3</v>
      </c>
      <c r="AG194" s="25">
        <v>1</v>
      </c>
      <c r="AH194" s="25">
        <v>16</v>
      </c>
      <c r="AI194" s="57">
        <f t="shared" si="169"/>
        <v>2.4379765235863914E-3</v>
      </c>
      <c r="AJ194" s="57">
        <f t="shared" si="170"/>
        <v>3.2446772259358818E-5</v>
      </c>
      <c r="AK194" s="57">
        <f t="shared" si="171"/>
        <v>0.18318400000000004</v>
      </c>
      <c r="AL194" s="53">
        <f t="shared" si="172"/>
        <v>1.6746848082579417E-2</v>
      </c>
      <c r="AM194" s="53">
        <f t="shared" si="173"/>
        <v>8.6435999999999993</v>
      </c>
      <c r="AN194" s="80">
        <f t="shared" si="174"/>
        <v>1.5189884882158203E-2</v>
      </c>
      <c r="AO194" s="80">
        <f t="shared" si="175"/>
        <v>7.1111111111111125</v>
      </c>
      <c r="AP194" s="145">
        <f t="shared" si="176"/>
        <v>9.2749174905130127E-3</v>
      </c>
      <c r="AQ194" s="145">
        <f t="shared" si="177"/>
        <v>2.6512373486090515</v>
      </c>
      <c r="AR194" s="100">
        <f t="shared" si="178"/>
        <v>0.14240517077023312</v>
      </c>
      <c r="AS194" s="100">
        <f t="shared" si="179"/>
        <v>625</v>
      </c>
      <c r="AT194" s="25">
        <f t="shared" si="180"/>
        <v>6.5677264759231527E-3</v>
      </c>
      <c r="AU194" s="25">
        <f t="shared" si="181"/>
        <v>1.3294090000000001</v>
      </c>
      <c r="AV194" s="53">
        <f>AA194*P194</f>
        <v>8.2594999046735215E-2</v>
      </c>
      <c r="AW194" s="53">
        <f>AA194^2</f>
        <v>210.25</v>
      </c>
      <c r="AX194" s="100">
        <f>P194*R194</f>
        <v>0.21417737683843066</v>
      </c>
      <c r="AY194" s="100">
        <f>R194*R194</f>
        <v>1413.7600000000002</v>
      </c>
    </row>
    <row r="195" spans="1:96" s="53" customFormat="1" ht="14">
      <c r="A195" s="119" t="s">
        <v>186</v>
      </c>
      <c r="B195" s="120">
        <v>6</v>
      </c>
      <c r="C195" s="120">
        <v>5</v>
      </c>
      <c r="D195" s="121" t="s">
        <v>4</v>
      </c>
      <c r="E195" s="122">
        <f t="shared" si="162"/>
        <v>2.5</v>
      </c>
      <c r="F195" s="122">
        <v>30.8</v>
      </c>
      <c r="G195" s="122">
        <f t="shared" si="184"/>
        <v>1.3674933333333334</v>
      </c>
      <c r="H195" s="122">
        <f>(G195+I195)/2</f>
        <v>1.1837466666666667</v>
      </c>
      <c r="I195" s="122">
        <v>1</v>
      </c>
      <c r="J195" s="122">
        <f t="shared" si="163"/>
        <v>0.73599999999999999</v>
      </c>
      <c r="K195" s="122">
        <f t="shared" si="164"/>
        <v>0.98133333333333328</v>
      </c>
      <c r="L195" s="122">
        <v>0.13</v>
      </c>
      <c r="M195" s="122">
        <v>0.2</v>
      </c>
      <c r="N195" s="122">
        <f t="shared" si="165"/>
        <v>0.10388059701492539</v>
      </c>
      <c r="O195" s="122">
        <f t="shared" si="182"/>
        <v>290.73188717024044</v>
      </c>
      <c r="P195" s="122">
        <f t="shared" si="166"/>
        <v>9.0461353434547129E-3</v>
      </c>
      <c r="Q195" s="122">
        <f t="shared" si="167"/>
        <v>0.5</v>
      </c>
      <c r="R195" s="122">
        <v>37.700000000000003</v>
      </c>
      <c r="S195" s="122">
        <f>1-0.439</f>
        <v>0.56099999999999994</v>
      </c>
      <c r="T195" s="122">
        <f>(R195/100+S195)/2</f>
        <v>0.46899999999999997</v>
      </c>
      <c r="U195" s="122">
        <v>0.372</v>
      </c>
      <c r="V195" s="122">
        <v>1.25</v>
      </c>
      <c r="W195" s="122">
        <f>(V195+U195+J195)/3</f>
        <v>0.78599999999999992</v>
      </c>
      <c r="X195" s="122">
        <v>9.5000000000000001E-2</v>
      </c>
      <c r="Y195" s="122">
        <f>X195+1</f>
        <v>1.095</v>
      </c>
      <c r="Z195" s="122">
        <f t="shared" si="183"/>
        <v>3.2381429438379601</v>
      </c>
      <c r="AA195" s="122">
        <v>45</v>
      </c>
      <c r="AB195" s="122">
        <v>35</v>
      </c>
      <c r="AC195" s="122">
        <v>25</v>
      </c>
      <c r="AD195" s="122"/>
      <c r="AE195" s="122">
        <v>2.64</v>
      </c>
      <c r="AF195" s="131">
        <f t="shared" si="168"/>
        <v>1.1137900886468084E-2</v>
      </c>
      <c r="AG195" s="122">
        <v>1</v>
      </c>
      <c r="AH195" s="122">
        <v>18</v>
      </c>
      <c r="AI195" s="57">
        <f t="shared" si="169"/>
        <v>5.074881927678093E-3</v>
      </c>
      <c r="AJ195" s="57">
        <f t="shared" si="170"/>
        <v>8.183256465210052E-5</v>
      </c>
      <c r="AK195" s="57">
        <f t="shared" si="171"/>
        <v>0.31472099999999992</v>
      </c>
      <c r="AL195" s="53">
        <f t="shared" si="172"/>
        <v>2.3881797306720444E-2</v>
      </c>
      <c r="AM195" s="53">
        <f t="shared" si="173"/>
        <v>6.9696000000000007</v>
      </c>
      <c r="AN195" s="80">
        <f t="shared" si="174"/>
        <v>2.2615338358636782E-2</v>
      </c>
      <c r="AO195" s="80">
        <f t="shared" si="175"/>
        <v>6.25</v>
      </c>
      <c r="AP195" s="145">
        <f t="shared" si="176"/>
        <v>2.929267933141106E-2</v>
      </c>
      <c r="AQ195" s="145">
        <f t="shared" si="177"/>
        <v>10.48556972472757</v>
      </c>
      <c r="AR195" s="100">
        <f t="shared" si="178"/>
        <v>0.22615338358636783</v>
      </c>
      <c r="AS195" s="100">
        <f t="shared" si="179"/>
        <v>625</v>
      </c>
      <c r="AT195" s="25">
        <f t="shared" si="180"/>
        <v>1.0708332559030038E-2</v>
      </c>
      <c r="AU195" s="25">
        <f t="shared" si="181"/>
        <v>1.4012561708444446</v>
      </c>
      <c r="AV195" s="53">
        <f>AA195*P195</f>
        <v>0.40707609045546206</v>
      </c>
      <c r="AW195" s="53">
        <f>AA195^2</f>
        <v>2025</v>
      </c>
      <c r="AX195" s="100">
        <f>P195*R195</f>
        <v>0.34103930244824271</v>
      </c>
      <c r="AY195" s="100">
        <f>R195*R195</f>
        <v>1421.2900000000002</v>
      </c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  <c r="BS195" s="15"/>
      <c r="BT195" s="15"/>
      <c r="BU195" s="15"/>
      <c r="BV195" s="15"/>
      <c r="BW195" s="15"/>
      <c r="BX195" s="15"/>
      <c r="BY195" s="15"/>
      <c r="BZ195" s="15"/>
      <c r="CA195" s="15"/>
      <c r="CB195" s="15"/>
      <c r="CC195" s="15"/>
      <c r="CD195" s="15"/>
      <c r="CE195" s="15"/>
      <c r="CF195" s="15"/>
      <c r="CG195" s="15"/>
      <c r="CH195" s="15"/>
      <c r="CI195" s="15"/>
      <c r="CJ195" s="15"/>
      <c r="CK195" s="15"/>
      <c r="CL195" s="15"/>
      <c r="CM195" s="15"/>
      <c r="CN195" s="15"/>
      <c r="CO195" s="15"/>
      <c r="CP195" s="15"/>
      <c r="CQ195" s="15"/>
      <c r="CR195" s="15"/>
    </row>
    <row r="196" spans="1:96" s="13" customFormat="1" ht="14">
      <c r="A196" s="16" t="s">
        <v>187</v>
      </c>
      <c r="B196" s="14">
        <v>3</v>
      </c>
      <c r="C196" s="14">
        <v>4</v>
      </c>
      <c r="D196" s="22" t="s">
        <v>3</v>
      </c>
      <c r="E196" s="15">
        <f t="shared" si="162"/>
        <v>1.8333333333333335</v>
      </c>
      <c r="F196" s="15">
        <v>38.799999999999997</v>
      </c>
      <c r="G196" s="25">
        <f t="shared" si="184"/>
        <v>1.9824266666666666</v>
      </c>
      <c r="H196" s="15">
        <f>(G196+I196)/2</f>
        <v>1.3662133333333333</v>
      </c>
      <c r="I196" s="15">
        <v>0.75</v>
      </c>
      <c r="J196" s="25">
        <f t="shared" si="163"/>
        <v>0.43200000000000005</v>
      </c>
      <c r="K196" s="57">
        <f t="shared" ref="K196:K197" si="194">4*J196/3</f>
        <v>0.57600000000000007</v>
      </c>
      <c r="L196" s="15">
        <v>0.22</v>
      </c>
      <c r="M196" s="15">
        <v>0.2</v>
      </c>
      <c r="N196" s="70">
        <f t="shared" ref="N196:N197" si="195">(L196/16.75+M196)/2</f>
        <v>0.10656716417910449</v>
      </c>
      <c r="O196" s="53">
        <f t="shared" si="182"/>
        <v>42.781149733020825</v>
      </c>
      <c r="P196" s="25">
        <f t="shared" ref="P196:P197" si="196">2.63/O196</f>
        <v>6.1475673664983868E-2</v>
      </c>
      <c r="Q196" s="15">
        <f t="shared" si="167"/>
        <v>0.7222222222222221</v>
      </c>
      <c r="R196" s="15">
        <v>50.8</v>
      </c>
      <c r="S196" s="15">
        <f>1-0.395</f>
        <v>0.60499999999999998</v>
      </c>
      <c r="T196" s="15">
        <f>(R196/100+S196)/2</f>
        <v>0.55649999999999999</v>
      </c>
      <c r="U196" s="15">
        <v>0.27300000000000002</v>
      </c>
      <c r="V196" s="15">
        <f>1-0.67</f>
        <v>0.32999999999999996</v>
      </c>
      <c r="W196" s="15">
        <f>(V196+U196+J196)/3</f>
        <v>0.34500000000000003</v>
      </c>
      <c r="X196" s="15">
        <f>-14/136</f>
        <v>-0.10294117647058823</v>
      </c>
      <c r="Y196" s="15">
        <f>X196</f>
        <v>-0.10294117647058823</v>
      </c>
      <c r="Z196" s="25">
        <f t="shared" si="183"/>
        <v>1.780219957154126</v>
      </c>
      <c r="AA196" s="15">
        <v>64</v>
      </c>
      <c r="AB196" s="15">
        <v>14</v>
      </c>
      <c r="AC196" s="15">
        <v>12.9</v>
      </c>
      <c r="AD196" s="75"/>
      <c r="AE196" s="15">
        <v>5.68</v>
      </c>
      <c r="AF196" s="131">
        <f t="shared" si="168"/>
        <v>4.1612251383231408E-2</v>
      </c>
      <c r="AG196" s="15">
        <v>1</v>
      </c>
      <c r="AH196" s="15">
        <v>58</v>
      </c>
      <c r="AI196" s="57">
        <f t="shared" si="169"/>
        <v>3.7192782567315237E-2</v>
      </c>
      <c r="AJ196" s="57">
        <f t="shared" si="170"/>
        <v>3.779258452563591E-3</v>
      </c>
      <c r="AK196" s="57">
        <f t="shared" si="171"/>
        <v>0.36602499999999999</v>
      </c>
      <c r="AL196" s="53">
        <f t="shared" si="172"/>
        <v>0.34918182641710838</v>
      </c>
      <c r="AM196" s="53">
        <f t="shared" si="173"/>
        <v>32.2624</v>
      </c>
      <c r="AN196" s="80">
        <f t="shared" si="174"/>
        <v>0.11270540171913709</v>
      </c>
      <c r="AO196" s="80">
        <f t="shared" si="175"/>
        <v>3.3611111111111116</v>
      </c>
      <c r="AP196" s="145">
        <f t="shared" si="176"/>
        <v>0.10944022113789861</v>
      </c>
      <c r="AQ196" s="145">
        <f t="shared" si="177"/>
        <v>3.1691830958498381</v>
      </c>
      <c r="AR196" s="100">
        <f t="shared" si="178"/>
        <v>0.79303619027829197</v>
      </c>
      <c r="AS196" s="100">
        <f t="shared" si="179"/>
        <v>166.41</v>
      </c>
      <c r="AT196" s="25">
        <f t="shared" si="180"/>
        <v>8.3988885036749825E-2</v>
      </c>
      <c r="AU196" s="25">
        <f t="shared" si="181"/>
        <v>1.8665388721777776</v>
      </c>
      <c r="AV196" s="53">
        <f>AA196*P196</f>
        <v>3.9344431145589676</v>
      </c>
      <c r="AW196" s="53">
        <f>AA196^2</f>
        <v>4096</v>
      </c>
      <c r="AX196" s="100">
        <f>P196*R196</f>
        <v>3.1229642221811802</v>
      </c>
      <c r="AY196" s="100">
        <f>R196*R196</f>
        <v>2580.64</v>
      </c>
      <c r="AZ196" s="15"/>
      <c r="BA196" s="15"/>
      <c r="BB196" s="15"/>
      <c r="BC196" s="15"/>
      <c r="BD196" s="15"/>
      <c r="BE196" s="15"/>
      <c r="BF196" s="15"/>
      <c r="BG196" s="15"/>
      <c r="BH196" s="15"/>
      <c r="BI196" s="15"/>
      <c r="BJ196" s="15"/>
      <c r="BK196" s="15"/>
      <c r="BL196" s="15"/>
      <c r="BM196" s="15"/>
      <c r="BN196" s="15"/>
      <c r="BO196" s="15"/>
      <c r="BP196" s="15"/>
      <c r="BQ196" s="15"/>
      <c r="BR196" s="15"/>
      <c r="BS196" s="15"/>
      <c r="BT196" s="15"/>
      <c r="BU196" s="15"/>
      <c r="BV196" s="15"/>
      <c r="BW196" s="15"/>
      <c r="BX196" s="15"/>
      <c r="BY196" s="15"/>
      <c r="BZ196" s="15"/>
      <c r="CA196" s="15"/>
      <c r="CB196" s="15"/>
      <c r="CC196" s="15"/>
      <c r="CD196" s="15"/>
      <c r="CE196" s="15"/>
      <c r="CF196" s="15"/>
      <c r="CG196" s="15"/>
      <c r="CH196" s="15"/>
      <c r="CI196" s="15"/>
      <c r="CJ196" s="15"/>
      <c r="CK196" s="15"/>
      <c r="CL196" s="15"/>
      <c r="CM196" s="15"/>
      <c r="CN196" s="15"/>
      <c r="CO196" s="15"/>
      <c r="CP196" s="15"/>
      <c r="CQ196" s="15"/>
      <c r="CR196" s="15"/>
    </row>
    <row r="197" spans="1:96" s="125" customFormat="1" ht="14.5" thickBot="1">
      <c r="A197" s="195" t="s">
        <v>188</v>
      </c>
      <c r="B197" s="196">
        <v>6</v>
      </c>
      <c r="C197" s="196">
        <v>6</v>
      </c>
      <c r="D197" s="197" t="s">
        <v>4</v>
      </c>
      <c r="E197" s="125">
        <f t="shared" si="162"/>
        <v>2.666666666666667</v>
      </c>
      <c r="F197" s="125">
        <v>40.4</v>
      </c>
      <c r="G197" s="125">
        <f t="shared" si="184"/>
        <v>2.1054133333333334</v>
      </c>
      <c r="H197" s="125">
        <f>(G197+I197)/2</f>
        <v>1.4277066666666667</v>
      </c>
      <c r="I197" s="198">
        <f>3/4</f>
        <v>0.75</v>
      </c>
      <c r="J197" s="125">
        <f t="shared" si="163"/>
        <v>0.73599999999999999</v>
      </c>
      <c r="K197" s="125">
        <f t="shared" si="194"/>
        <v>0.98133333333333328</v>
      </c>
      <c r="L197" s="125">
        <v>0.17</v>
      </c>
      <c r="M197" s="125">
        <v>0.2</v>
      </c>
      <c r="N197" s="125">
        <f t="shared" si="195"/>
        <v>0.10507462686567165</v>
      </c>
      <c r="O197" s="125">
        <f t="shared" ref="O197" si="197">EXP(E197*(H197+K197+N197))</f>
        <v>815.9113192281385</v>
      </c>
      <c r="P197" s="125">
        <f t="shared" si="196"/>
        <v>3.2233895253322509E-3</v>
      </c>
      <c r="Q197" s="125">
        <f t="shared" si="167"/>
        <v>0.44444444444444431</v>
      </c>
      <c r="R197" s="125">
        <v>50.1</v>
      </c>
      <c r="S197" s="125">
        <f>1-0.14</f>
        <v>0.86</v>
      </c>
      <c r="T197" s="125">
        <f>(R197/100+S197)/2</f>
        <v>0.68049999999999999</v>
      </c>
      <c r="U197" s="125">
        <v>2.2999999999999998</v>
      </c>
      <c r="V197" s="125">
        <v>0.4</v>
      </c>
      <c r="W197" s="125">
        <f>(V197+U197+J197)/3</f>
        <v>1.1453333333333333</v>
      </c>
      <c r="X197" s="125">
        <f>(127-79)/92</f>
        <v>0.52173913043478259</v>
      </c>
      <c r="Y197" s="125">
        <f>X197</f>
        <v>0.52173913043478259</v>
      </c>
      <c r="Z197" s="125">
        <f t="shared" ref="Z197" si="198">EXP(Q197*(Y197+W197+T197))</f>
        <v>2.8387548968901704</v>
      </c>
      <c r="AA197" s="125">
        <v>69</v>
      </c>
      <c r="AB197" s="125">
        <v>95</v>
      </c>
      <c r="AC197" s="125">
        <v>12.5</v>
      </c>
      <c r="AE197" s="125">
        <v>2.64</v>
      </c>
      <c r="AF197" s="125">
        <f t="shared" si="168"/>
        <v>3.479244410502437E-3</v>
      </c>
      <c r="AG197" s="125">
        <v>1</v>
      </c>
      <c r="AH197" s="125">
        <v>58</v>
      </c>
      <c r="AI197" s="125">
        <f t="shared" si="169"/>
        <v>2.7721149917857356E-3</v>
      </c>
      <c r="AJ197" s="125">
        <f t="shared" si="170"/>
        <v>1.0390240032021674E-5</v>
      </c>
      <c r="AK197" s="125">
        <f t="shared" si="171"/>
        <v>0.73959999999999992</v>
      </c>
      <c r="AL197" s="125">
        <f t="shared" si="172"/>
        <v>8.5097483468771426E-3</v>
      </c>
      <c r="AM197" s="125">
        <f t="shared" si="173"/>
        <v>6.9696000000000007</v>
      </c>
      <c r="AN197" s="125">
        <f t="shared" si="174"/>
        <v>8.5957054008860036E-3</v>
      </c>
      <c r="AO197" s="125">
        <f t="shared" si="175"/>
        <v>7.1111111111111125</v>
      </c>
      <c r="AP197" s="199">
        <f t="shared" si="176"/>
        <v>9.1504127996214091E-3</v>
      </c>
      <c r="AQ197" s="199">
        <f t="shared" si="177"/>
        <v>8.0585293646179217</v>
      </c>
      <c r="AR197" s="125">
        <f t="shared" si="178"/>
        <v>4.0292369066653136E-2</v>
      </c>
      <c r="AS197" s="125">
        <f t="shared" si="179"/>
        <v>156.25</v>
      </c>
      <c r="AT197" s="125">
        <f t="shared" si="180"/>
        <v>4.6020547145803571E-3</v>
      </c>
      <c r="AU197" s="125">
        <f t="shared" si="181"/>
        <v>2.0383463260444445</v>
      </c>
      <c r="AV197" s="125">
        <f>AA197*P197</f>
        <v>0.2224138772479253</v>
      </c>
      <c r="AW197" s="125">
        <f>AA197^2</f>
        <v>4761</v>
      </c>
      <c r="AX197" s="125">
        <f>P197*R197</f>
        <v>0.16149181521914577</v>
      </c>
      <c r="AY197" s="125">
        <f>R197*R197</f>
        <v>2510.0100000000002</v>
      </c>
    </row>
    <row r="198" spans="1:96" s="3" customFormat="1" ht="14.5" thickTop="1">
      <c r="A198" s="5"/>
      <c r="B198" s="4"/>
      <c r="C198" s="4"/>
      <c r="D198" s="4"/>
      <c r="E198" s="4">
        <f>AVERAGE(E4:E197)</f>
        <v>1.7560137457044678</v>
      </c>
      <c r="F198" s="4"/>
      <c r="G198" s="34"/>
      <c r="H198" s="4">
        <f>AVERAGE(H4:H197)</f>
        <v>1.0158150687285219</v>
      </c>
      <c r="I198" s="4"/>
      <c r="J198" s="4"/>
      <c r="K198" s="4"/>
      <c r="L198" s="4"/>
      <c r="M198" s="4"/>
      <c r="N198" s="4"/>
      <c r="O198" s="88"/>
      <c r="P198" s="34">
        <f>AVERAGE(P4:P197)</f>
        <v>0.28959093280087073</v>
      </c>
      <c r="Q198" s="4">
        <f t="shared" ref="Q198" si="199">1-(E198-1)/3</f>
        <v>0.74799541809851067</v>
      </c>
      <c r="R198" s="4">
        <f>AVERAGE(R6:R144)</f>
        <v>39.77722772277226</v>
      </c>
      <c r="S198" s="4">
        <f>AVERAGE(S4:S197)</f>
        <v>0.37118556701030936</v>
      </c>
      <c r="T198" s="4"/>
      <c r="U198" s="4"/>
      <c r="V198" s="4"/>
      <c r="W198" s="4"/>
      <c r="X198" s="4"/>
      <c r="Y198" s="4"/>
      <c r="Z198" s="34">
        <f>AVERAGE(Z4:Z197)</f>
        <v>2.1065287600017872</v>
      </c>
      <c r="AA198" s="4">
        <f>AVERAGE(AA45:AA192)</f>
        <v>29.573302752293589</v>
      </c>
      <c r="AB198" s="4"/>
      <c r="AC198" s="4">
        <f>AVERAGE(AC4:AC197)</f>
        <v>35.444894179894185</v>
      </c>
      <c r="AD198" s="93"/>
      <c r="AE198" s="4">
        <f>AVERAGE(AE4:AE197)</f>
        <v>5.6563402061855674</v>
      </c>
      <c r="AF198" s="142"/>
      <c r="AG198" s="4"/>
      <c r="AH198" s="4"/>
      <c r="AI198" s="144">
        <f t="shared" ref="AI198:AU198" si="200">AVERAGE(AI4:AI197)</f>
        <v>6.3858170083661292E-2</v>
      </c>
      <c r="AJ198" s="144">
        <f t="shared" si="200"/>
        <v>0.18839570592145596</v>
      </c>
      <c r="AK198" s="144">
        <f t="shared" si="200"/>
        <v>0.18004629896907212</v>
      </c>
      <c r="AL198" s="53">
        <f t="shared" si="200"/>
        <v>2.2173371049038337</v>
      </c>
      <c r="AM198" s="53">
        <f t="shared" si="200"/>
        <v>36.783521134020624</v>
      </c>
      <c r="AN198" s="155">
        <f t="shared" si="200"/>
        <v>0.33669075256225117</v>
      </c>
      <c r="AO198" s="155">
        <f t="shared" si="200"/>
        <v>3.5008591065292105</v>
      </c>
      <c r="AP198" s="145">
        <f t="shared" si="200"/>
        <v>0.63483818271667436</v>
      </c>
      <c r="AQ198" s="145">
        <f t="shared" si="200"/>
        <v>4.6684886436587618</v>
      </c>
      <c r="AR198" s="159">
        <f t="shared" si="200"/>
        <v>6.1029446358094761</v>
      </c>
      <c r="AS198" s="159">
        <f t="shared" si="200"/>
        <v>19018.325510768049</v>
      </c>
      <c r="AT198" s="25">
        <f t="shared" si="200"/>
        <v>0.2451481344344891</v>
      </c>
      <c r="AU198" s="25">
        <f t="shared" si="200"/>
        <v>1.1113384039959335</v>
      </c>
      <c r="AV198" s="53"/>
      <c r="AW198" s="53"/>
      <c r="AX198" s="159"/>
      <c r="AY198" s="159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</row>
    <row r="199" spans="1:96" s="3" customFormat="1">
      <c r="A199" s="5"/>
      <c r="B199" s="4"/>
      <c r="C199" s="4"/>
      <c r="D199" s="4"/>
      <c r="E199" s="4"/>
      <c r="F199" s="4"/>
      <c r="G199" s="34"/>
      <c r="H199" s="4"/>
      <c r="I199" s="4"/>
      <c r="J199" s="4"/>
      <c r="K199" s="4"/>
      <c r="L199" s="4"/>
      <c r="M199" s="4"/>
      <c r="N199" s="4"/>
      <c r="O199" s="88"/>
      <c r="P199" s="34"/>
      <c r="Q199" s="4"/>
      <c r="R199" s="4"/>
      <c r="S199" s="4"/>
      <c r="T199" s="4"/>
      <c r="U199" s="4"/>
      <c r="V199" s="4"/>
      <c r="W199" s="4"/>
      <c r="X199" s="4"/>
      <c r="Y199" s="4"/>
      <c r="Z199" s="34"/>
      <c r="AA199" s="4"/>
      <c r="AB199" s="4"/>
      <c r="AC199" s="4"/>
      <c r="AD199" s="93"/>
      <c r="AE199" s="4"/>
      <c r="AF199" s="142"/>
      <c r="AG199" s="4"/>
      <c r="AH199" s="4"/>
      <c r="AI199" s="4"/>
      <c r="AJ199" s="4"/>
      <c r="AK199" s="4"/>
      <c r="AL199" s="4"/>
      <c r="AM199" s="4"/>
      <c r="AN199" s="4"/>
      <c r="AV199" s="3">
        <f>AVERAGE(AV45:AV192)</f>
        <v>5.2957089935111012</v>
      </c>
      <c r="AW199" s="3">
        <f>AVERAGE(AW45:AW192)</f>
        <v>1213.7249036697247</v>
      </c>
      <c r="AX199" s="142">
        <f>AVERAGE(AX6:AX144)</f>
        <v>9.5790878405026536</v>
      </c>
      <c r="AY199" s="142">
        <f>AVERAGE(AY6:AY144)</f>
        <v>1679.0979207920784</v>
      </c>
    </row>
    <row r="200" spans="1:96" s="142" customFormat="1">
      <c r="A200" s="141"/>
      <c r="AI200" s="142">
        <f>(AI198-S198*P198)/((AJ198-P198^2)*(AK198-S198^2))^0.5</f>
        <v>-0.65643712539389187</v>
      </c>
      <c r="AL200" s="142">
        <f>(AL198-AE198*P198)/((AM198-AE198^2)*(AJ198-P198^2))^(0.5)</f>
        <v>0.81874518413268682</v>
      </c>
      <c r="AN200" s="142">
        <f>(AN198-P198*E198)/((AO198-E198^2)*(AJ198-P198^2))^(0.5)</f>
        <v>-0.82276158845632319</v>
      </c>
      <c r="AP200" s="142">
        <f>(AP198-Z198*P198)/((AQ198-Z198^2)*(AJ198-P198^2))^(0.5)</f>
        <v>0.15962850688681382</v>
      </c>
      <c r="AR200" s="142">
        <f>(AR198-AC198*P198)/((AJ198-P198^2)*(AS198-AC198^2))^(0.5)</f>
        <v>-9.6579671663980834E-2</v>
      </c>
      <c r="AT200" s="142">
        <f>(AT198-H198*P198)/((AJ198-P198^2)*(AU198-H198^2))^(0.5)</f>
        <v>-0.53790019943131673</v>
      </c>
    </row>
    <row r="201" spans="1:96" s="3" customFormat="1">
      <c r="A201" s="5"/>
      <c r="B201" s="4" t="s">
        <v>230</v>
      </c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AF201" s="142"/>
      <c r="AI201" s="152" t="s">
        <v>251</v>
      </c>
      <c r="AJ201" s="152"/>
      <c r="AK201" s="152"/>
      <c r="AL201" s="86" t="s">
        <v>254</v>
      </c>
      <c r="AM201" s="86"/>
      <c r="AN201" s="155" t="s">
        <v>259</v>
      </c>
      <c r="AO201" s="155"/>
      <c r="AP201" s="162"/>
      <c r="AQ201" s="162"/>
      <c r="AV201" s="3">
        <f>(AV199-AA198*P198)/((AJ198-P198^2)*(AW199-AA198^2))^(0.5)</f>
        <v>-0.54893792933912033</v>
      </c>
      <c r="AX201" s="142">
        <f>(AX199-R198*P198)/((AJ198-P198^2)*(AY199-R198^2))^(0.5)</f>
        <v>-0.60966157883056671</v>
      </c>
      <c r="AY201" s="142"/>
    </row>
    <row r="202" spans="1:96" s="3" customFormat="1">
      <c r="A202" s="5"/>
      <c r="B202" s="4" t="s">
        <v>237</v>
      </c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AF202" s="142"/>
      <c r="AL202" s="86" t="s">
        <v>255</v>
      </c>
      <c r="AM202" s="86"/>
      <c r="AN202" s="155" t="s">
        <v>210</v>
      </c>
      <c r="AO202" s="155"/>
      <c r="AP202" s="162" t="s">
        <v>254</v>
      </c>
      <c r="AQ202" s="162"/>
      <c r="AR202" s="159" t="s">
        <v>271</v>
      </c>
      <c r="AS202" s="159"/>
      <c r="AT202" s="34" t="s">
        <v>271</v>
      </c>
      <c r="AU202" s="34"/>
      <c r="AV202" s="88" t="s">
        <v>271</v>
      </c>
      <c r="AW202" s="88"/>
      <c r="AX202" s="159" t="s">
        <v>271</v>
      </c>
      <c r="AY202" s="159"/>
    </row>
    <row r="203" spans="1:96" s="3" customFormat="1">
      <c r="A203" s="5"/>
      <c r="B203" s="4" t="s">
        <v>228</v>
      </c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AF203" s="142"/>
      <c r="AL203" s="86" t="s">
        <v>256</v>
      </c>
      <c r="AM203" s="86"/>
      <c r="AN203" s="155" t="s">
        <v>260</v>
      </c>
      <c r="AO203" s="155"/>
      <c r="AP203" s="162" t="s">
        <v>267</v>
      </c>
      <c r="AQ203" s="162"/>
      <c r="AR203" s="159" t="s">
        <v>272</v>
      </c>
      <c r="AS203" s="159"/>
      <c r="AT203" s="34" t="s">
        <v>273</v>
      </c>
      <c r="AU203" s="34"/>
      <c r="AV203" s="88" t="s">
        <v>276</v>
      </c>
      <c r="AW203" s="88"/>
      <c r="AX203" s="159" t="s">
        <v>279</v>
      </c>
      <c r="AY203" s="159"/>
    </row>
    <row r="204" spans="1:96" s="3" customFormat="1">
      <c r="A204" s="5"/>
      <c r="B204" s="4" t="s">
        <v>227</v>
      </c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AF204" s="142"/>
      <c r="AI204" s="144" t="s">
        <v>270</v>
      </c>
      <c r="AJ204" s="144"/>
      <c r="AL204" s="86" t="s">
        <v>269</v>
      </c>
      <c r="AN204" s="155" t="s">
        <v>269</v>
      </c>
      <c r="AP204" s="162" t="s">
        <v>268</v>
      </c>
      <c r="AQ204" s="162"/>
      <c r="AR204" s="159" t="s">
        <v>268</v>
      </c>
      <c r="AS204" s="159"/>
      <c r="AT204" s="34" t="s">
        <v>270</v>
      </c>
      <c r="AU204" s="34"/>
      <c r="AV204" s="88" t="s">
        <v>270</v>
      </c>
      <c r="AW204" s="88"/>
      <c r="AX204" s="159" t="s">
        <v>269</v>
      </c>
      <c r="AY204" s="159"/>
    </row>
    <row r="205" spans="1:96" s="3" customFormat="1">
      <c r="A205" s="5"/>
      <c r="B205" s="4" t="s">
        <v>229</v>
      </c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AF205" s="142"/>
      <c r="AP205" s="162"/>
      <c r="AQ205" s="162"/>
      <c r="AR205" s="159"/>
      <c r="AS205" s="159"/>
      <c r="AV205" s="88"/>
      <c r="AW205" s="88"/>
      <c r="AX205" s="159"/>
      <c r="AY205" s="159"/>
    </row>
    <row r="206" spans="1:96" s="3" customFormat="1">
      <c r="A206" s="5"/>
      <c r="B206" s="4" t="s">
        <v>235</v>
      </c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AF206" s="142"/>
    </row>
    <row r="207" spans="1:96" s="3" customFormat="1">
      <c r="A207" s="5"/>
      <c r="B207" s="4" t="s">
        <v>236</v>
      </c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AF207" s="142"/>
    </row>
    <row r="208" spans="1:96" s="3" customFormat="1">
      <c r="A208" s="5"/>
      <c r="B208" s="4" t="s">
        <v>232</v>
      </c>
      <c r="C208" s="4"/>
      <c r="D208" s="4"/>
      <c r="E208" s="4"/>
      <c r="F208" s="4"/>
      <c r="G208" s="34"/>
      <c r="H208" s="4"/>
      <c r="I208" s="4"/>
      <c r="J208" s="23"/>
      <c r="K208" s="23"/>
      <c r="L208" s="23"/>
      <c r="M208" s="23"/>
      <c r="N208" s="23"/>
      <c r="O208" s="89"/>
      <c r="AF208" s="142"/>
    </row>
    <row r="209" spans="1:40" s="3" customFormat="1">
      <c r="A209" s="5"/>
      <c r="B209" s="4" t="s">
        <v>234</v>
      </c>
      <c r="C209" s="4"/>
      <c r="D209" s="4"/>
      <c r="E209" s="4"/>
      <c r="F209" s="4"/>
      <c r="G209" s="34"/>
      <c r="H209" s="4"/>
      <c r="I209" s="4"/>
      <c r="J209" s="4"/>
      <c r="K209" s="4"/>
      <c r="L209" s="4"/>
      <c r="M209" s="4"/>
      <c r="N209" s="4"/>
      <c r="O209" s="88"/>
      <c r="AF209" s="142"/>
    </row>
    <row r="210" spans="1:40" s="3" customFormat="1">
      <c r="A210" s="5"/>
      <c r="B210" s="4"/>
      <c r="C210" s="4"/>
      <c r="D210" s="4"/>
      <c r="E210" s="4"/>
      <c r="F210" s="4"/>
      <c r="G210" s="34"/>
      <c r="H210" s="4"/>
      <c r="I210" s="4"/>
      <c r="J210" s="4"/>
      <c r="K210" s="4"/>
      <c r="L210" s="4"/>
      <c r="M210" s="4"/>
      <c r="N210" s="4"/>
      <c r="O210" s="88"/>
      <c r="AF210" s="142"/>
    </row>
    <row r="211" spans="1:40" s="7" customFormat="1">
      <c r="A211" s="6"/>
      <c r="B211" s="198" t="s">
        <v>238</v>
      </c>
      <c r="C211" s="198"/>
      <c r="D211" s="198"/>
      <c r="E211" s="198"/>
      <c r="F211" s="198"/>
      <c r="G211" s="34"/>
      <c r="H211" s="4"/>
      <c r="I211" s="4"/>
      <c r="J211" s="4"/>
      <c r="K211" s="4"/>
      <c r="L211" s="4"/>
      <c r="M211" s="4"/>
      <c r="N211" s="4"/>
      <c r="O211" s="88"/>
      <c r="P211" s="35"/>
      <c r="Q211" s="23"/>
      <c r="R211" s="23"/>
      <c r="S211" s="23"/>
      <c r="T211" s="8"/>
      <c r="U211" s="8"/>
      <c r="V211" s="8"/>
      <c r="W211" s="8"/>
      <c r="X211" s="8"/>
      <c r="Y211" s="8"/>
      <c r="Z211" s="23"/>
      <c r="AA211" s="23"/>
      <c r="AB211" s="23"/>
      <c r="AC211" s="23"/>
      <c r="AD211" s="23"/>
      <c r="AE211" s="8"/>
      <c r="AF211" s="148"/>
      <c r="AG211" s="8"/>
      <c r="AH211" s="8"/>
      <c r="AI211" s="8"/>
      <c r="AJ211" s="8"/>
      <c r="AK211" s="8"/>
      <c r="AL211" s="8"/>
      <c r="AM211" s="8"/>
      <c r="AN211" s="8"/>
    </row>
    <row r="212" spans="1:40" s="3" customFormat="1">
      <c r="A212" s="5"/>
      <c r="B212" s="204" t="s">
        <v>239</v>
      </c>
      <c r="C212" s="204"/>
      <c r="D212" s="204"/>
      <c r="E212" s="4"/>
      <c r="F212" s="4"/>
      <c r="G212" s="34"/>
      <c r="H212" s="4"/>
      <c r="I212" s="4"/>
      <c r="J212" s="4"/>
      <c r="K212" s="4"/>
      <c r="L212" s="4"/>
      <c r="M212" s="4"/>
      <c r="N212" s="4"/>
      <c r="O212" s="88"/>
      <c r="P212" s="3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142"/>
      <c r="AG212" s="4"/>
      <c r="AH212" s="4"/>
      <c r="AI212" s="4"/>
      <c r="AJ212" s="4"/>
      <c r="AK212" s="4"/>
      <c r="AL212" s="4"/>
      <c r="AM212" s="4"/>
      <c r="AN212" s="4"/>
    </row>
    <row r="213" spans="1:40" s="3" customFormat="1">
      <c r="A213" s="5"/>
      <c r="B213" s="206" t="s">
        <v>240</v>
      </c>
      <c r="C213" s="206"/>
      <c r="D213" s="206"/>
      <c r="E213" s="4"/>
      <c r="F213" s="4"/>
      <c r="G213" s="34"/>
      <c r="H213" s="4"/>
      <c r="I213" s="4"/>
      <c r="J213" s="4"/>
      <c r="K213" s="4"/>
      <c r="L213" s="4"/>
      <c r="M213" s="4"/>
      <c r="N213" s="4"/>
      <c r="O213" s="88"/>
      <c r="P213" s="3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142"/>
      <c r="AG213" s="4"/>
      <c r="AH213" s="4"/>
      <c r="AI213" s="4"/>
      <c r="AJ213" s="4"/>
      <c r="AK213" s="4"/>
      <c r="AL213" s="4"/>
      <c r="AM213" s="4"/>
      <c r="AN213" s="4"/>
    </row>
    <row r="214" spans="1:40" s="3" customFormat="1">
      <c r="A214" s="5"/>
      <c r="B214" s="207" t="s">
        <v>244</v>
      </c>
      <c r="C214" s="207"/>
      <c r="D214" s="207"/>
      <c r="E214" s="4"/>
      <c r="F214" s="4"/>
      <c r="G214" s="34"/>
      <c r="H214" s="4"/>
      <c r="I214" s="4"/>
      <c r="J214" s="4"/>
      <c r="K214" s="4"/>
      <c r="L214" s="4"/>
      <c r="M214" s="4"/>
      <c r="N214" s="4"/>
      <c r="O214" s="88"/>
      <c r="P214" s="3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142"/>
      <c r="AG214" s="4"/>
      <c r="AH214" s="4"/>
      <c r="AI214" s="4"/>
      <c r="AJ214" s="4"/>
      <c r="AK214" s="4"/>
      <c r="AL214" s="4"/>
      <c r="AM214" s="4"/>
      <c r="AN214" s="4"/>
    </row>
    <row r="215" spans="1:40" s="3" customFormat="1">
      <c r="A215" s="5"/>
      <c r="B215" s="86" t="s">
        <v>245</v>
      </c>
      <c r="C215" s="86"/>
      <c r="D215" s="86"/>
      <c r="E215" s="4"/>
      <c r="F215" s="4"/>
      <c r="G215" s="34"/>
      <c r="H215" s="4"/>
      <c r="I215" s="4"/>
      <c r="J215" s="4"/>
      <c r="K215" s="4"/>
      <c r="L215" s="4"/>
      <c r="M215" s="4"/>
      <c r="N215" s="4"/>
      <c r="O215" s="88"/>
      <c r="P215" s="3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142"/>
      <c r="AG215" s="4"/>
      <c r="AH215" s="4"/>
      <c r="AI215" s="4"/>
      <c r="AJ215" s="4"/>
      <c r="AK215" s="4"/>
      <c r="AL215" s="4"/>
      <c r="AM215" s="4"/>
      <c r="AN215" s="4"/>
    </row>
    <row r="216" spans="1:40" s="3" customFormat="1">
      <c r="A216" s="5"/>
      <c r="B216" s="208" t="s">
        <v>246</v>
      </c>
      <c r="C216" s="208"/>
      <c r="D216" s="208"/>
      <c r="E216" s="4"/>
      <c r="F216" s="4"/>
      <c r="G216" s="34"/>
      <c r="H216" s="4"/>
      <c r="I216" s="4"/>
      <c r="J216" s="4"/>
      <c r="K216" s="4"/>
      <c r="L216" s="4"/>
      <c r="M216" s="4"/>
      <c r="N216" s="4"/>
      <c r="O216" s="88"/>
      <c r="P216" s="3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142"/>
      <c r="AG216" s="4"/>
      <c r="AH216" s="4"/>
      <c r="AI216" s="4"/>
      <c r="AJ216" s="4"/>
      <c r="AK216" s="4"/>
      <c r="AL216" s="4"/>
      <c r="AM216" s="4"/>
      <c r="AN216" s="4"/>
    </row>
    <row r="217" spans="1:40" s="3" customFormat="1">
      <c r="A217" s="5"/>
      <c r="B217" s="34" t="s">
        <v>247</v>
      </c>
      <c r="C217" s="34"/>
      <c r="D217" s="34"/>
      <c r="E217" s="4"/>
      <c r="F217" s="4"/>
      <c r="G217" s="34"/>
      <c r="H217" s="4"/>
      <c r="I217" s="4"/>
      <c r="J217" s="4"/>
      <c r="K217" s="4"/>
      <c r="L217" s="4"/>
      <c r="M217" s="4"/>
      <c r="N217" s="4"/>
      <c r="O217" s="88"/>
      <c r="P217" s="3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142"/>
      <c r="AG217" s="4"/>
      <c r="AH217" s="4"/>
      <c r="AI217" s="4"/>
      <c r="AJ217" s="4"/>
      <c r="AK217" s="4"/>
      <c r="AL217" s="4"/>
      <c r="AM217" s="4"/>
      <c r="AN217" s="4"/>
    </row>
    <row r="218" spans="1:40" s="3" customFormat="1">
      <c r="A218" s="5"/>
      <c r="B218" s="205" t="s">
        <v>248</v>
      </c>
      <c r="C218" s="205"/>
      <c r="D218" s="205"/>
      <c r="E218" s="4"/>
      <c r="F218" s="4"/>
      <c r="G218" s="34"/>
      <c r="H218" s="4"/>
      <c r="I218" s="4"/>
      <c r="J218" s="4"/>
      <c r="K218" s="4"/>
      <c r="L218" s="4"/>
      <c r="M218" s="4"/>
      <c r="N218" s="4"/>
      <c r="O218" s="88"/>
      <c r="P218" s="3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142"/>
      <c r="AG218" s="4"/>
      <c r="AH218" s="4"/>
      <c r="AI218" s="4"/>
      <c r="AJ218" s="4"/>
      <c r="AK218" s="4"/>
      <c r="AL218" s="4"/>
      <c r="AM218" s="4"/>
      <c r="AN218" s="4"/>
    </row>
    <row r="219" spans="1:40" s="3" customFormat="1">
      <c r="A219" s="5"/>
      <c r="B219" s="4"/>
      <c r="C219" s="4"/>
      <c r="D219" s="4"/>
      <c r="E219" s="4"/>
      <c r="F219" s="4"/>
      <c r="G219" s="34"/>
      <c r="H219" s="4"/>
      <c r="I219" s="4"/>
      <c r="J219" s="4"/>
      <c r="K219" s="4"/>
      <c r="L219" s="4"/>
      <c r="M219" s="4"/>
      <c r="N219" s="4"/>
      <c r="O219" s="88"/>
      <c r="P219" s="3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142"/>
      <c r="AG219" s="4"/>
      <c r="AH219" s="4"/>
      <c r="AI219" s="4"/>
      <c r="AJ219" s="4"/>
      <c r="AK219" s="4"/>
      <c r="AL219" s="4"/>
      <c r="AM219" s="4"/>
      <c r="AN219" s="4"/>
    </row>
    <row r="220" spans="1:40" s="3" customFormat="1">
      <c r="A220" s="5"/>
      <c r="B220" s="4"/>
      <c r="C220" s="4"/>
      <c r="D220" s="4"/>
      <c r="E220" s="4"/>
      <c r="F220" s="4"/>
      <c r="G220" s="34"/>
      <c r="H220" s="4"/>
      <c r="I220" s="4"/>
      <c r="J220" s="4"/>
      <c r="K220" s="4"/>
      <c r="L220" s="4"/>
      <c r="M220" s="4"/>
      <c r="N220" s="4"/>
      <c r="O220" s="88"/>
      <c r="P220" s="3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142"/>
      <c r="AG220" s="4"/>
      <c r="AH220" s="4"/>
      <c r="AI220" s="4"/>
      <c r="AJ220" s="4"/>
      <c r="AK220" s="4"/>
      <c r="AL220" s="4"/>
      <c r="AM220" s="4"/>
      <c r="AN220" s="4"/>
    </row>
    <row r="221" spans="1:40" s="3" customFormat="1">
      <c r="A221" s="5"/>
      <c r="B221" s="4"/>
      <c r="C221" s="4"/>
      <c r="D221" s="4"/>
      <c r="E221" s="4"/>
      <c r="F221" s="4"/>
      <c r="G221" s="34"/>
      <c r="H221" s="4"/>
      <c r="I221" s="4"/>
      <c r="J221" s="4"/>
      <c r="K221" s="4"/>
      <c r="L221" s="4"/>
      <c r="M221" s="4"/>
      <c r="N221" s="4"/>
      <c r="O221" s="88"/>
      <c r="P221" s="3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142"/>
      <c r="AG221" s="4"/>
      <c r="AH221" s="4"/>
      <c r="AI221" s="4"/>
      <c r="AJ221" s="4"/>
      <c r="AK221" s="4"/>
      <c r="AL221" s="4"/>
      <c r="AM221" s="4"/>
      <c r="AN221" s="4"/>
    </row>
    <row r="222" spans="1:40" s="3" customFormat="1">
      <c r="A222" s="5"/>
      <c r="B222" s="4"/>
      <c r="C222" s="4"/>
      <c r="D222" s="4"/>
      <c r="E222" s="4"/>
      <c r="F222" s="4"/>
      <c r="G222" s="34"/>
      <c r="H222" s="4"/>
      <c r="I222" s="4"/>
      <c r="J222" s="4"/>
      <c r="K222" s="4"/>
      <c r="L222" s="4"/>
      <c r="M222" s="4"/>
      <c r="N222" s="4"/>
      <c r="O222" s="88"/>
      <c r="P222" s="3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142"/>
      <c r="AG222" s="4"/>
      <c r="AH222" s="4"/>
      <c r="AI222" s="4"/>
      <c r="AJ222" s="4"/>
      <c r="AK222" s="4"/>
      <c r="AL222" s="4"/>
      <c r="AM222" s="4"/>
      <c r="AN222" s="4"/>
    </row>
    <row r="223" spans="1:40" s="3" customFormat="1" ht="12.75" customHeight="1">
      <c r="A223" s="5"/>
      <c r="B223" s="4"/>
      <c r="C223" s="4"/>
      <c r="D223" s="4"/>
      <c r="E223" s="4"/>
      <c r="F223" s="4"/>
      <c r="G223" s="34"/>
      <c r="H223" s="4"/>
      <c r="I223" s="4"/>
      <c r="J223" s="4"/>
      <c r="K223" s="4"/>
      <c r="L223" s="4"/>
      <c r="M223" s="4"/>
      <c r="N223" s="4"/>
      <c r="O223" s="88"/>
      <c r="P223" s="3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142"/>
      <c r="AG223" s="4"/>
      <c r="AH223" s="4"/>
      <c r="AI223" s="4"/>
      <c r="AJ223" s="4"/>
      <c r="AK223" s="4"/>
      <c r="AL223" s="4"/>
      <c r="AM223" s="4"/>
      <c r="AN223" s="4"/>
    </row>
    <row r="224" spans="1:40" s="3" customFormat="1">
      <c r="A224" s="5"/>
      <c r="B224" s="4"/>
      <c r="C224" s="4"/>
      <c r="D224" s="4"/>
      <c r="E224" s="4"/>
      <c r="F224" s="4"/>
      <c r="G224" s="34"/>
      <c r="H224" s="4"/>
      <c r="I224" s="4"/>
      <c r="J224" s="4"/>
      <c r="K224" s="4"/>
      <c r="L224" s="4"/>
      <c r="M224" s="4"/>
      <c r="N224" s="4"/>
      <c r="O224" s="88"/>
      <c r="P224" s="3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142"/>
      <c r="AG224" s="4"/>
      <c r="AH224" s="4"/>
      <c r="AI224" s="4"/>
      <c r="AJ224" s="4"/>
      <c r="AK224" s="4"/>
      <c r="AL224" s="4"/>
      <c r="AM224" s="4"/>
      <c r="AN224" s="4"/>
    </row>
    <row r="225" spans="1:40" s="3" customFormat="1">
      <c r="A225" s="5"/>
      <c r="B225" s="4"/>
      <c r="C225" s="4"/>
      <c r="D225" s="4"/>
      <c r="E225" s="4"/>
      <c r="F225" s="4"/>
      <c r="G225" s="34"/>
      <c r="H225" s="4"/>
      <c r="I225" s="4"/>
      <c r="J225" s="4"/>
      <c r="K225" s="4"/>
      <c r="L225" s="4"/>
      <c r="M225" s="4"/>
      <c r="N225" s="4"/>
      <c r="O225" s="88"/>
      <c r="P225" s="3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142"/>
      <c r="AG225" s="4"/>
      <c r="AH225" s="4"/>
      <c r="AI225" s="4"/>
      <c r="AJ225" s="4"/>
      <c r="AK225" s="4"/>
      <c r="AL225" s="4"/>
      <c r="AM225" s="4"/>
      <c r="AN225" s="4"/>
    </row>
    <row r="226" spans="1:40" s="3" customFormat="1">
      <c r="A226" s="5"/>
      <c r="B226" s="4"/>
      <c r="C226" s="4"/>
      <c r="D226" s="4"/>
      <c r="E226" s="4"/>
      <c r="F226" s="4"/>
      <c r="G226" s="34"/>
      <c r="H226" s="4"/>
      <c r="I226" s="4"/>
      <c r="J226" s="4"/>
      <c r="K226" s="4"/>
      <c r="L226" s="4"/>
      <c r="M226" s="4"/>
      <c r="N226" s="4"/>
      <c r="O226" s="88"/>
      <c r="P226" s="3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142"/>
      <c r="AG226" s="4"/>
      <c r="AH226" s="4"/>
      <c r="AI226" s="4"/>
      <c r="AJ226" s="4"/>
      <c r="AK226" s="4"/>
      <c r="AL226" s="4"/>
      <c r="AM226" s="4"/>
      <c r="AN226" s="4"/>
    </row>
    <row r="227" spans="1:40" s="3" customFormat="1">
      <c r="A227" s="5"/>
      <c r="B227" s="4"/>
      <c r="C227" s="4"/>
      <c r="D227" s="4"/>
      <c r="E227" s="4"/>
      <c r="F227" s="4"/>
      <c r="G227" s="34"/>
      <c r="H227" s="4"/>
      <c r="I227" s="4"/>
      <c r="J227" s="4"/>
      <c r="K227" s="4"/>
      <c r="L227" s="4"/>
      <c r="M227" s="4"/>
      <c r="N227" s="4"/>
      <c r="O227" s="88"/>
      <c r="P227" s="3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142"/>
      <c r="AG227" s="4"/>
      <c r="AH227" s="4"/>
      <c r="AI227" s="4"/>
      <c r="AJ227" s="4"/>
      <c r="AK227" s="4"/>
      <c r="AL227" s="4"/>
      <c r="AM227" s="4"/>
      <c r="AN227" s="4"/>
    </row>
    <row r="228" spans="1:40" s="3" customFormat="1">
      <c r="A228" s="5"/>
      <c r="B228" s="4"/>
      <c r="C228" s="4"/>
      <c r="D228" s="4"/>
      <c r="E228" s="4"/>
      <c r="F228" s="4"/>
      <c r="G228" s="34"/>
      <c r="H228" s="4"/>
      <c r="I228" s="4"/>
      <c r="J228" s="4"/>
      <c r="K228" s="4"/>
      <c r="L228" s="4"/>
      <c r="M228" s="4"/>
      <c r="N228" s="4"/>
      <c r="O228" s="88"/>
      <c r="P228" s="3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142"/>
      <c r="AG228" s="4"/>
      <c r="AH228" s="4"/>
      <c r="AI228" s="4"/>
      <c r="AJ228" s="4"/>
      <c r="AK228" s="4"/>
      <c r="AL228" s="4"/>
      <c r="AM228" s="4"/>
      <c r="AN228" s="4"/>
    </row>
    <row r="229" spans="1:40" s="3" customFormat="1">
      <c r="A229" s="5"/>
      <c r="B229" s="4"/>
      <c r="C229" s="4"/>
      <c r="D229" s="4"/>
      <c r="E229" s="4"/>
      <c r="F229" s="4"/>
      <c r="G229" s="34"/>
      <c r="H229" s="4"/>
      <c r="I229" s="4"/>
      <c r="J229" s="4"/>
      <c r="K229" s="4"/>
      <c r="L229" s="4"/>
      <c r="M229" s="4"/>
      <c r="N229" s="4"/>
      <c r="O229" s="88"/>
      <c r="P229" s="34"/>
      <c r="Q229" s="4"/>
      <c r="R229" s="4"/>
      <c r="S229" s="4"/>
      <c r="T229" s="4"/>
      <c r="U229" s="4"/>
      <c r="V229" s="4"/>
      <c r="W229" s="4"/>
      <c r="X229" s="4"/>
      <c r="Y229" s="4"/>
      <c r="Z229" s="34"/>
      <c r="AA229" s="4"/>
      <c r="AB229" s="4"/>
      <c r="AC229" s="4"/>
      <c r="AD229" s="93"/>
      <c r="AE229" s="4"/>
      <c r="AF229" s="142"/>
      <c r="AG229" s="4"/>
      <c r="AH229" s="4"/>
      <c r="AI229" s="4"/>
      <c r="AJ229" s="4"/>
      <c r="AK229" s="4"/>
      <c r="AL229" s="4"/>
      <c r="AM229" s="4"/>
      <c r="AN229" s="4"/>
    </row>
    <row r="230" spans="1:40" s="3" customFormat="1">
      <c r="A230" s="5"/>
      <c r="B230" s="4"/>
      <c r="C230" s="4"/>
      <c r="D230" s="4"/>
      <c r="E230" s="4"/>
      <c r="F230" s="4"/>
      <c r="G230" s="34"/>
      <c r="H230" s="4"/>
      <c r="I230" s="4"/>
      <c r="J230" s="4"/>
      <c r="K230" s="4"/>
      <c r="L230" s="4"/>
      <c r="M230" s="4"/>
      <c r="N230" s="4"/>
      <c r="O230" s="88"/>
      <c r="P230" s="34"/>
      <c r="Q230" s="4"/>
      <c r="R230" s="4"/>
      <c r="S230" s="4"/>
      <c r="T230" s="4"/>
      <c r="U230" s="4"/>
      <c r="V230" s="4"/>
      <c r="W230" s="4"/>
      <c r="X230" s="4"/>
      <c r="Y230" s="4"/>
      <c r="Z230" s="34"/>
      <c r="AA230" s="4"/>
      <c r="AB230" s="4"/>
      <c r="AC230" s="4"/>
      <c r="AD230" s="93"/>
      <c r="AE230" s="4"/>
      <c r="AF230" s="142"/>
      <c r="AG230" s="4"/>
      <c r="AH230" s="4"/>
      <c r="AI230" s="4"/>
      <c r="AJ230" s="4"/>
      <c r="AK230" s="4"/>
      <c r="AL230" s="4"/>
      <c r="AM230" s="4"/>
      <c r="AN230" s="4"/>
    </row>
    <row r="231" spans="1:40" s="3" customFormat="1">
      <c r="A231" s="5"/>
      <c r="B231" s="4"/>
      <c r="C231" s="4"/>
      <c r="D231" s="4"/>
      <c r="E231" s="4"/>
      <c r="F231" s="4"/>
      <c r="G231" s="34"/>
      <c r="H231" s="4"/>
      <c r="I231" s="4"/>
      <c r="J231" s="4"/>
      <c r="K231" s="4"/>
      <c r="L231" s="4"/>
      <c r="M231" s="4"/>
      <c r="N231" s="4"/>
      <c r="O231" s="88"/>
      <c r="P231" s="34"/>
      <c r="Q231" s="4"/>
      <c r="R231" s="4"/>
      <c r="S231" s="4"/>
      <c r="T231" s="4"/>
      <c r="U231" s="4"/>
      <c r="V231" s="4"/>
      <c r="W231" s="4"/>
      <c r="X231" s="4"/>
      <c r="Y231" s="4"/>
      <c r="Z231" s="34"/>
      <c r="AA231" s="4"/>
      <c r="AB231" s="4"/>
      <c r="AC231" s="4"/>
      <c r="AD231" s="93"/>
      <c r="AE231" s="4"/>
      <c r="AF231" s="142"/>
      <c r="AG231" s="4"/>
      <c r="AH231" s="4"/>
      <c r="AI231" s="4"/>
      <c r="AJ231" s="4"/>
      <c r="AK231" s="4"/>
      <c r="AL231" s="4"/>
      <c r="AM231" s="4"/>
      <c r="AN231" s="4"/>
    </row>
    <row r="232" spans="1:40" s="3" customFormat="1">
      <c r="A232" s="5"/>
      <c r="B232" s="4"/>
      <c r="C232" s="4"/>
      <c r="D232" s="4"/>
      <c r="E232" s="4"/>
      <c r="F232" s="4"/>
      <c r="G232" s="34"/>
      <c r="H232" s="4"/>
      <c r="I232" s="4"/>
      <c r="J232" s="4"/>
      <c r="K232" s="4"/>
      <c r="L232" s="4"/>
      <c r="M232" s="4"/>
      <c r="N232" s="4"/>
      <c r="O232" s="88"/>
      <c r="P232" s="34"/>
      <c r="Q232" s="4"/>
      <c r="R232" s="4"/>
      <c r="S232" s="4"/>
      <c r="T232" s="4"/>
      <c r="U232" s="4"/>
      <c r="V232" s="4"/>
      <c r="W232" s="4"/>
      <c r="X232" s="4"/>
      <c r="Y232" s="4"/>
      <c r="Z232" s="34"/>
      <c r="AA232" s="4"/>
      <c r="AB232" s="4"/>
      <c r="AC232" s="4"/>
      <c r="AD232" s="93"/>
      <c r="AE232" s="4"/>
      <c r="AF232" s="142"/>
      <c r="AG232" s="4"/>
      <c r="AH232" s="4"/>
      <c r="AI232" s="4"/>
      <c r="AJ232" s="4"/>
      <c r="AK232" s="4"/>
      <c r="AL232" s="4"/>
      <c r="AM232" s="4"/>
      <c r="AN232" s="4"/>
    </row>
    <row r="233" spans="1:40" s="3" customFormat="1">
      <c r="A233" s="5"/>
      <c r="B233" s="4"/>
      <c r="C233" s="4"/>
      <c r="D233" s="4"/>
      <c r="E233" s="4"/>
      <c r="F233" s="4"/>
      <c r="G233" s="34"/>
      <c r="H233" s="4"/>
      <c r="I233" s="4"/>
      <c r="J233" s="4"/>
      <c r="K233" s="4"/>
      <c r="L233" s="4"/>
      <c r="M233" s="4"/>
      <c r="N233" s="4"/>
      <c r="O233" s="88"/>
      <c r="P233" s="34"/>
      <c r="Q233" s="4"/>
      <c r="R233" s="4"/>
      <c r="S233" s="4"/>
      <c r="T233" s="4"/>
      <c r="U233" s="4"/>
      <c r="V233" s="4"/>
      <c r="W233" s="4"/>
      <c r="X233" s="4"/>
      <c r="Y233" s="4"/>
      <c r="Z233" s="34"/>
      <c r="AA233" s="4"/>
      <c r="AB233" s="4"/>
      <c r="AC233" s="4"/>
      <c r="AD233" s="93"/>
      <c r="AE233" s="4"/>
      <c r="AF233" s="142"/>
      <c r="AG233" s="4"/>
      <c r="AH233" s="4"/>
      <c r="AI233" s="4"/>
      <c r="AJ233" s="4"/>
      <c r="AK233" s="4"/>
      <c r="AL233" s="4"/>
      <c r="AM233" s="4"/>
      <c r="AN233" s="4"/>
    </row>
    <row r="234" spans="1:40" s="3" customFormat="1">
      <c r="A234" s="5"/>
      <c r="B234" s="4"/>
      <c r="C234" s="4"/>
      <c r="D234" s="4"/>
      <c r="E234" s="4"/>
      <c r="F234" s="4"/>
      <c r="G234" s="34"/>
      <c r="H234" s="4"/>
      <c r="I234" s="4"/>
      <c r="J234" s="4"/>
      <c r="K234" s="4"/>
      <c r="L234" s="4"/>
      <c r="M234" s="4"/>
      <c r="N234" s="4"/>
      <c r="O234" s="88"/>
      <c r="P234" s="34"/>
      <c r="Q234" s="4"/>
      <c r="R234" s="4"/>
      <c r="S234" s="4"/>
      <c r="T234" s="4"/>
      <c r="U234" s="4"/>
      <c r="V234" s="4"/>
      <c r="W234" s="4"/>
      <c r="X234" s="4"/>
      <c r="Y234" s="4"/>
      <c r="Z234" s="34"/>
      <c r="AA234" s="4"/>
      <c r="AB234" s="4"/>
      <c r="AC234" s="4"/>
      <c r="AD234" s="93"/>
      <c r="AE234" s="4"/>
      <c r="AF234" s="142"/>
      <c r="AG234" s="4"/>
      <c r="AH234" s="4"/>
      <c r="AI234" s="4"/>
      <c r="AJ234" s="4"/>
      <c r="AK234" s="4"/>
      <c r="AL234" s="4"/>
      <c r="AM234" s="4"/>
      <c r="AN234" s="4"/>
    </row>
    <row r="235" spans="1:40" s="3" customFormat="1">
      <c r="A235" s="5"/>
      <c r="B235" s="4"/>
      <c r="C235" s="4"/>
      <c r="D235" s="4"/>
      <c r="E235" s="4"/>
      <c r="F235" s="4"/>
      <c r="G235" s="34"/>
      <c r="H235" s="4"/>
      <c r="I235" s="4"/>
      <c r="J235" s="4"/>
      <c r="K235" s="4"/>
      <c r="L235" s="4"/>
      <c r="M235" s="4"/>
      <c r="N235" s="4"/>
      <c r="O235" s="88"/>
      <c r="P235" s="34"/>
      <c r="Q235" s="4"/>
      <c r="R235" s="4"/>
      <c r="S235" s="4"/>
      <c r="T235" s="4"/>
      <c r="U235" s="4"/>
      <c r="V235" s="4"/>
      <c r="W235" s="4"/>
      <c r="X235" s="4"/>
      <c r="Y235" s="4"/>
      <c r="Z235" s="34"/>
      <c r="AA235" s="4"/>
      <c r="AB235" s="4"/>
      <c r="AC235" s="4"/>
      <c r="AD235" s="93"/>
      <c r="AE235" s="4"/>
      <c r="AF235" s="142"/>
      <c r="AG235" s="4"/>
      <c r="AH235" s="4"/>
      <c r="AI235" s="4"/>
      <c r="AJ235" s="4"/>
      <c r="AK235" s="4"/>
      <c r="AL235" s="4"/>
      <c r="AM235" s="4"/>
      <c r="AN235" s="4"/>
    </row>
    <row r="236" spans="1:40" s="3" customFormat="1">
      <c r="A236" s="5"/>
      <c r="B236" s="4"/>
      <c r="C236" s="4"/>
      <c r="D236" s="4"/>
      <c r="E236" s="4"/>
      <c r="F236" s="4"/>
      <c r="G236" s="34"/>
      <c r="H236" s="4"/>
      <c r="I236" s="4"/>
      <c r="J236" s="4"/>
      <c r="K236" s="4"/>
      <c r="L236" s="4"/>
      <c r="M236" s="4"/>
      <c r="N236" s="4"/>
      <c r="O236" s="88"/>
      <c r="P236" s="34"/>
      <c r="Q236" s="4"/>
      <c r="R236" s="4"/>
      <c r="S236" s="4"/>
      <c r="T236" s="4"/>
      <c r="U236" s="4"/>
      <c r="V236" s="4"/>
      <c r="W236" s="4"/>
      <c r="X236" s="4"/>
      <c r="Y236" s="4"/>
      <c r="Z236" s="34"/>
      <c r="AA236" s="4"/>
      <c r="AB236" s="4"/>
      <c r="AC236" s="4"/>
      <c r="AD236" s="93"/>
      <c r="AE236" s="4"/>
      <c r="AF236" s="142"/>
      <c r="AG236" s="4"/>
      <c r="AH236" s="4"/>
      <c r="AI236" s="4"/>
      <c r="AJ236" s="4"/>
      <c r="AK236" s="4"/>
      <c r="AL236" s="4"/>
      <c r="AM236" s="4"/>
      <c r="AN236" s="4"/>
    </row>
    <row r="237" spans="1:40" s="3" customFormat="1">
      <c r="A237" s="5"/>
      <c r="B237" s="4"/>
      <c r="C237" s="4"/>
      <c r="D237" s="4"/>
      <c r="E237" s="4"/>
      <c r="F237" s="4"/>
      <c r="G237" s="34"/>
      <c r="H237" s="4"/>
      <c r="I237" s="4"/>
      <c r="J237" s="4"/>
      <c r="K237" s="4"/>
      <c r="L237" s="4"/>
      <c r="M237" s="4"/>
      <c r="N237" s="4"/>
      <c r="O237" s="88"/>
      <c r="P237" s="34"/>
      <c r="Q237" s="4"/>
      <c r="R237" s="4"/>
      <c r="S237" s="4"/>
      <c r="T237" s="4"/>
      <c r="U237" s="4"/>
      <c r="V237" s="4"/>
      <c r="W237" s="4"/>
      <c r="X237" s="4"/>
      <c r="Y237" s="4"/>
      <c r="Z237" s="34"/>
      <c r="AA237" s="4"/>
      <c r="AB237" s="4"/>
      <c r="AC237" s="4"/>
      <c r="AD237" s="93"/>
      <c r="AE237" s="4"/>
      <c r="AF237" s="142"/>
      <c r="AG237" s="4"/>
      <c r="AH237" s="4"/>
      <c r="AI237" s="4"/>
      <c r="AJ237" s="4"/>
      <c r="AK237" s="4"/>
      <c r="AL237" s="4"/>
      <c r="AM237" s="4"/>
      <c r="AN237" s="4"/>
    </row>
    <row r="238" spans="1:40" s="3" customFormat="1">
      <c r="A238" s="5"/>
      <c r="B238" s="4"/>
      <c r="C238" s="4"/>
      <c r="D238" s="4"/>
      <c r="E238" s="4"/>
      <c r="F238" s="4"/>
      <c r="G238" s="34"/>
      <c r="H238" s="4"/>
      <c r="I238" s="4"/>
      <c r="J238" s="4"/>
      <c r="K238" s="4"/>
      <c r="L238" s="4"/>
      <c r="M238" s="4"/>
      <c r="N238" s="4"/>
      <c r="O238" s="88"/>
      <c r="P238" s="34"/>
      <c r="Q238" s="4"/>
      <c r="R238" s="4"/>
      <c r="S238" s="4"/>
      <c r="T238" s="4"/>
      <c r="U238" s="4"/>
      <c r="V238" s="4"/>
      <c r="W238" s="4"/>
      <c r="X238" s="4"/>
      <c r="Y238" s="4"/>
      <c r="Z238" s="34"/>
      <c r="AA238" s="4"/>
      <c r="AB238" s="4"/>
      <c r="AC238" s="4"/>
      <c r="AD238" s="93"/>
      <c r="AE238" s="4"/>
      <c r="AF238" s="142"/>
      <c r="AG238" s="4"/>
      <c r="AH238" s="4"/>
      <c r="AI238" s="4"/>
      <c r="AJ238" s="4"/>
      <c r="AK238" s="4"/>
      <c r="AL238" s="4"/>
      <c r="AM238" s="4"/>
      <c r="AN238" s="4"/>
    </row>
    <row r="239" spans="1:40" s="3" customFormat="1">
      <c r="A239" s="5"/>
      <c r="B239" s="4"/>
      <c r="C239" s="4"/>
      <c r="D239" s="4"/>
      <c r="E239" s="4"/>
      <c r="F239" s="4"/>
      <c r="G239" s="34"/>
      <c r="H239" s="4"/>
      <c r="I239" s="4"/>
      <c r="J239" s="4"/>
      <c r="K239" s="4"/>
      <c r="L239" s="4"/>
      <c r="M239" s="4"/>
      <c r="N239" s="4"/>
      <c r="O239" s="88"/>
      <c r="P239" s="34"/>
      <c r="Q239" s="4"/>
      <c r="R239" s="4"/>
      <c r="S239" s="4"/>
      <c r="T239" s="4"/>
      <c r="U239" s="4"/>
      <c r="V239" s="4"/>
      <c r="W239" s="4"/>
      <c r="X239" s="4"/>
      <c r="Y239" s="4"/>
      <c r="Z239" s="34"/>
      <c r="AA239" s="4"/>
      <c r="AB239" s="4"/>
      <c r="AC239" s="4"/>
      <c r="AD239" s="93"/>
      <c r="AE239" s="4"/>
      <c r="AF239" s="142"/>
      <c r="AG239" s="4"/>
      <c r="AH239" s="4"/>
      <c r="AI239" s="4"/>
      <c r="AJ239" s="4"/>
      <c r="AK239" s="4"/>
      <c r="AL239" s="4"/>
      <c r="AM239" s="4"/>
      <c r="AN239" s="4"/>
    </row>
    <row r="240" spans="1:40" s="3" customFormat="1">
      <c r="A240" s="5"/>
      <c r="B240" s="4"/>
      <c r="C240" s="4"/>
      <c r="D240" s="4"/>
      <c r="E240" s="4"/>
      <c r="F240" s="4"/>
      <c r="G240" s="34"/>
      <c r="H240" s="4"/>
      <c r="I240" s="4"/>
      <c r="J240" s="4"/>
      <c r="K240" s="4"/>
      <c r="L240" s="4"/>
      <c r="M240" s="4"/>
      <c r="N240" s="4"/>
      <c r="O240" s="88"/>
      <c r="P240" s="34"/>
      <c r="Q240" s="4"/>
      <c r="R240" s="4"/>
      <c r="S240" s="4"/>
      <c r="T240" s="4"/>
      <c r="U240" s="4"/>
      <c r="V240" s="4"/>
      <c r="W240" s="4"/>
      <c r="X240" s="4"/>
      <c r="Y240" s="4"/>
      <c r="Z240" s="34"/>
      <c r="AA240" s="4"/>
      <c r="AB240" s="4"/>
      <c r="AC240" s="4"/>
      <c r="AD240" s="93"/>
      <c r="AE240" s="4"/>
      <c r="AF240" s="142"/>
      <c r="AG240" s="4"/>
      <c r="AH240" s="4"/>
      <c r="AI240" s="4"/>
      <c r="AJ240" s="4"/>
      <c r="AK240" s="4"/>
      <c r="AL240" s="4"/>
      <c r="AM240" s="4"/>
      <c r="AN240" s="4"/>
    </row>
    <row r="241" spans="1:40" s="3" customFormat="1">
      <c r="A241" s="5"/>
      <c r="B241" s="4"/>
      <c r="C241" s="4"/>
      <c r="D241" s="4"/>
      <c r="E241" s="4"/>
      <c r="F241" s="4"/>
      <c r="G241" s="34"/>
      <c r="H241" s="4"/>
      <c r="I241" s="4"/>
      <c r="J241" s="4"/>
      <c r="K241" s="4"/>
      <c r="L241" s="4"/>
      <c r="M241" s="4"/>
      <c r="N241" s="4"/>
      <c r="O241" s="88"/>
      <c r="P241" s="34"/>
      <c r="Q241" s="4"/>
      <c r="R241" s="4"/>
      <c r="S241" s="4"/>
      <c r="T241" s="4"/>
      <c r="U241" s="4"/>
      <c r="V241" s="4"/>
      <c r="W241" s="4"/>
      <c r="X241" s="4"/>
      <c r="Y241" s="4"/>
      <c r="Z241" s="34"/>
      <c r="AA241" s="4"/>
      <c r="AB241" s="4"/>
      <c r="AC241" s="4"/>
      <c r="AD241" s="93"/>
      <c r="AE241" s="4"/>
      <c r="AF241" s="142"/>
      <c r="AG241" s="4"/>
      <c r="AH241" s="4"/>
      <c r="AI241" s="4"/>
      <c r="AJ241" s="4"/>
      <c r="AK241" s="4"/>
      <c r="AL241" s="4"/>
      <c r="AM241" s="4"/>
      <c r="AN241" s="4"/>
    </row>
    <row r="242" spans="1:40" s="3" customFormat="1">
      <c r="A242" s="5"/>
      <c r="B242" s="4"/>
      <c r="C242" s="4"/>
      <c r="D242" s="4"/>
      <c r="E242" s="4"/>
      <c r="F242" s="4"/>
      <c r="G242" s="34"/>
      <c r="H242" s="4"/>
      <c r="I242" s="4"/>
      <c r="J242" s="4"/>
      <c r="K242" s="4"/>
      <c r="L242" s="4"/>
      <c r="M242" s="4"/>
      <c r="N242" s="4"/>
      <c r="O242" s="88"/>
      <c r="P242" s="34"/>
      <c r="Q242" s="4"/>
      <c r="R242" s="4"/>
      <c r="S242" s="4"/>
      <c r="T242" s="4"/>
      <c r="U242" s="4"/>
      <c r="V242" s="4"/>
      <c r="W242" s="4"/>
      <c r="X242" s="4"/>
      <c r="Y242" s="4"/>
      <c r="Z242" s="34"/>
      <c r="AA242" s="4"/>
      <c r="AB242" s="4"/>
      <c r="AC242" s="4"/>
      <c r="AD242" s="93"/>
      <c r="AE242" s="4"/>
      <c r="AF242" s="142"/>
      <c r="AG242" s="4"/>
      <c r="AH242" s="4"/>
      <c r="AI242" s="4"/>
      <c r="AJ242" s="4"/>
      <c r="AK242" s="4"/>
      <c r="AL242" s="4"/>
      <c r="AM242" s="4"/>
      <c r="AN242" s="4"/>
    </row>
    <row r="243" spans="1:40" s="3" customFormat="1">
      <c r="A243" s="5"/>
      <c r="B243" s="4"/>
      <c r="C243" s="4"/>
      <c r="D243" s="4"/>
      <c r="E243" s="4"/>
      <c r="F243" s="4"/>
      <c r="G243" s="34"/>
      <c r="H243" s="4"/>
      <c r="I243" s="4"/>
      <c r="J243" s="4"/>
      <c r="K243" s="4"/>
      <c r="L243" s="4"/>
      <c r="M243" s="4"/>
      <c r="N243" s="4"/>
      <c r="O243" s="88"/>
      <c r="P243" s="34"/>
      <c r="Q243" s="4"/>
      <c r="R243" s="4"/>
      <c r="S243" s="4"/>
      <c r="T243" s="4"/>
      <c r="U243" s="4"/>
      <c r="V243" s="4"/>
      <c r="W243" s="4"/>
      <c r="X243" s="4"/>
      <c r="Y243" s="4"/>
      <c r="Z243" s="34"/>
      <c r="AA243" s="4"/>
      <c r="AB243" s="4"/>
      <c r="AC243" s="4"/>
      <c r="AD243" s="93"/>
      <c r="AE243" s="4"/>
      <c r="AF243" s="142"/>
      <c r="AG243" s="4"/>
      <c r="AH243" s="4"/>
      <c r="AI243" s="4"/>
      <c r="AJ243" s="4"/>
      <c r="AK243" s="4"/>
      <c r="AL243" s="4"/>
      <c r="AM243" s="4"/>
      <c r="AN243" s="4"/>
    </row>
    <row r="244" spans="1:40" s="3" customFormat="1">
      <c r="A244" s="5"/>
      <c r="B244" s="4"/>
      <c r="C244" s="4"/>
      <c r="D244" s="4"/>
      <c r="E244" s="4"/>
      <c r="F244" s="4"/>
      <c r="G244" s="34"/>
      <c r="H244" s="4"/>
      <c r="I244" s="4"/>
      <c r="J244" s="4"/>
      <c r="K244" s="4"/>
      <c r="L244" s="4"/>
      <c r="M244" s="4"/>
      <c r="N244" s="4"/>
      <c r="O244" s="88"/>
      <c r="P244" s="34"/>
      <c r="Q244" s="4"/>
      <c r="R244" s="4"/>
      <c r="S244" s="4"/>
      <c r="T244" s="4"/>
      <c r="U244" s="4"/>
      <c r="V244" s="4"/>
      <c r="W244" s="4"/>
      <c r="X244" s="4"/>
      <c r="Y244" s="4"/>
      <c r="Z244" s="34"/>
      <c r="AA244" s="4"/>
      <c r="AB244" s="4"/>
      <c r="AC244" s="4"/>
      <c r="AD244" s="93"/>
      <c r="AE244" s="4"/>
      <c r="AF244" s="142"/>
      <c r="AG244" s="4"/>
      <c r="AH244" s="4"/>
      <c r="AI244" s="4"/>
      <c r="AJ244" s="4"/>
      <c r="AK244" s="4"/>
      <c r="AL244" s="4"/>
      <c r="AM244" s="4"/>
      <c r="AN244" s="4"/>
    </row>
    <row r="245" spans="1:40" s="3" customFormat="1">
      <c r="A245" s="5"/>
      <c r="B245" s="4"/>
      <c r="C245" s="4"/>
      <c r="D245" s="4"/>
      <c r="E245" s="4"/>
      <c r="F245" s="4"/>
      <c r="G245" s="34"/>
      <c r="H245" s="4"/>
      <c r="I245" s="4"/>
      <c r="J245" s="4"/>
      <c r="K245" s="4"/>
      <c r="L245" s="4"/>
      <c r="M245" s="4"/>
      <c r="N245" s="4"/>
      <c r="O245" s="88"/>
      <c r="P245" s="34"/>
      <c r="Q245" s="4"/>
      <c r="R245" s="4"/>
      <c r="S245" s="4"/>
      <c r="T245" s="4"/>
      <c r="U245" s="4"/>
      <c r="V245" s="4"/>
      <c r="W245" s="4"/>
      <c r="X245" s="4"/>
      <c r="Y245" s="4"/>
      <c r="Z245" s="34"/>
      <c r="AA245" s="4"/>
      <c r="AB245" s="4"/>
      <c r="AC245" s="4"/>
      <c r="AD245" s="93"/>
      <c r="AE245" s="4"/>
      <c r="AF245" s="142"/>
      <c r="AG245" s="4"/>
      <c r="AH245" s="4"/>
      <c r="AI245" s="4"/>
      <c r="AJ245" s="4"/>
      <c r="AK245" s="4"/>
      <c r="AL245" s="4"/>
      <c r="AM245" s="4"/>
      <c r="AN245" s="4"/>
    </row>
    <row r="246" spans="1:40" s="3" customFormat="1">
      <c r="A246" s="5"/>
      <c r="B246" s="4"/>
      <c r="C246" s="4"/>
      <c r="D246" s="4"/>
      <c r="E246" s="4"/>
      <c r="F246" s="4"/>
      <c r="G246" s="34"/>
      <c r="H246" s="4"/>
      <c r="I246" s="4"/>
      <c r="J246" s="4"/>
      <c r="K246" s="4"/>
      <c r="L246" s="4"/>
      <c r="M246" s="4"/>
      <c r="N246" s="4"/>
      <c r="O246" s="88"/>
      <c r="P246" s="34"/>
      <c r="Q246" s="4"/>
      <c r="R246" s="4"/>
      <c r="S246" s="4"/>
      <c r="T246" s="4"/>
      <c r="U246" s="4"/>
      <c r="V246" s="4"/>
      <c r="W246" s="4"/>
      <c r="X246" s="4"/>
      <c r="Y246" s="4"/>
      <c r="Z246" s="34"/>
      <c r="AA246" s="4"/>
      <c r="AB246" s="4"/>
      <c r="AC246" s="4"/>
      <c r="AD246" s="93"/>
      <c r="AE246" s="4"/>
      <c r="AF246" s="142"/>
      <c r="AG246" s="4"/>
      <c r="AH246" s="4"/>
      <c r="AI246" s="4"/>
      <c r="AJ246" s="4"/>
      <c r="AK246" s="4"/>
      <c r="AL246" s="4"/>
      <c r="AM246" s="4"/>
      <c r="AN246" s="4"/>
    </row>
    <row r="247" spans="1:40" s="3" customFormat="1">
      <c r="A247" s="5"/>
      <c r="B247" s="4"/>
      <c r="C247" s="4"/>
      <c r="D247" s="4"/>
      <c r="E247" s="4"/>
      <c r="F247" s="4"/>
      <c r="G247" s="34"/>
      <c r="H247" s="4"/>
      <c r="I247" s="4"/>
      <c r="J247" s="4"/>
      <c r="K247" s="4"/>
      <c r="L247" s="4"/>
      <c r="M247" s="4"/>
      <c r="N247" s="4"/>
      <c r="O247" s="88"/>
      <c r="P247" s="34"/>
      <c r="Q247" s="4"/>
      <c r="R247" s="4"/>
      <c r="S247" s="4"/>
      <c r="T247" s="4"/>
      <c r="U247" s="4"/>
      <c r="V247" s="4"/>
      <c r="W247" s="4"/>
      <c r="X247" s="4"/>
      <c r="Y247" s="4"/>
      <c r="Z247" s="34"/>
      <c r="AA247" s="4"/>
      <c r="AB247" s="4"/>
      <c r="AC247" s="4"/>
      <c r="AD247" s="93"/>
      <c r="AE247" s="4"/>
      <c r="AF247" s="142"/>
      <c r="AG247" s="4"/>
      <c r="AH247" s="4"/>
      <c r="AI247" s="4"/>
      <c r="AJ247" s="4"/>
      <c r="AK247" s="4"/>
      <c r="AL247" s="4"/>
      <c r="AM247" s="4"/>
      <c r="AN247" s="4"/>
    </row>
    <row r="248" spans="1:40" s="3" customFormat="1">
      <c r="A248" s="5"/>
      <c r="B248" s="4"/>
      <c r="C248" s="4"/>
      <c r="D248" s="4"/>
      <c r="E248" s="4"/>
      <c r="F248" s="4"/>
      <c r="G248" s="34"/>
      <c r="H248" s="4"/>
      <c r="I248" s="4"/>
      <c r="J248" s="4"/>
      <c r="K248" s="4"/>
      <c r="L248" s="4"/>
      <c r="M248" s="4"/>
      <c r="N248" s="4"/>
      <c r="O248" s="88"/>
      <c r="P248" s="34"/>
      <c r="Q248" s="4"/>
      <c r="R248" s="4"/>
      <c r="S248" s="4"/>
      <c r="T248" s="4"/>
      <c r="U248" s="4"/>
      <c r="V248" s="4"/>
      <c r="W248" s="4"/>
      <c r="X248" s="4"/>
      <c r="Y248" s="4"/>
      <c r="Z248" s="34"/>
      <c r="AA248" s="4"/>
      <c r="AB248" s="4"/>
      <c r="AC248" s="4"/>
      <c r="AD248" s="93"/>
      <c r="AE248" s="4"/>
      <c r="AF248" s="142"/>
      <c r="AG248" s="4"/>
      <c r="AH248" s="4"/>
      <c r="AI248" s="4"/>
      <c r="AJ248" s="4"/>
      <c r="AK248" s="4"/>
      <c r="AL248" s="4"/>
      <c r="AM248" s="4"/>
      <c r="AN248" s="4"/>
    </row>
    <row r="249" spans="1:40" s="3" customFormat="1">
      <c r="A249" s="5"/>
      <c r="B249" s="4"/>
      <c r="C249" s="4"/>
      <c r="D249" s="4"/>
      <c r="E249" s="4"/>
      <c r="F249" s="4"/>
      <c r="G249" s="34"/>
      <c r="H249" s="4"/>
      <c r="I249" s="4"/>
      <c r="J249" s="4"/>
      <c r="K249" s="4"/>
      <c r="L249" s="4"/>
      <c r="M249" s="4"/>
      <c r="N249" s="4"/>
      <c r="O249" s="88"/>
      <c r="P249" s="34"/>
      <c r="Q249" s="4"/>
      <c r="R249" s="4"/>
      <c r="S249" s="4"/>
      <c r="T249" s="4"/>
      <c r="U249" s="4"/>
      <c r="V249" s="4"/>
      <c r="W249" s="4"/>
      <c r="X249" s="4"/>
      <c r="Y249" s="4"/>
      <c r="Z249" s="34"/>
      <c r="AA249" s="4"/>
      <c r="AB249" s="4"/>
      <c r="AC249" s="4"/>
      <c r="AD249" s="93"/>
      <c r="AE249" s="4"/>
      <c r="AF249" s="142"/>
      <c r="AG249" s="4"/>
      <c r="AH249" s="4"/>
      <c r="AI249" s="4"/>
      <c r="AJ249" s="4"/>
      <c r="AK249" s="4"/>
      <c r="AL249" s="4"/>
      <c r="AM249" s="4"/>
      <c r="AN249" s="4"/>
    </row>
    <row r="250" spans="1:40" s="3" customFormat="1">
      <c r="A250" s="5"/>
      <c r="B250" s="4"/>
      <c r="C250" s="4"/>
      <c r="D250" s="4"/>
      <c r="E250" s="4"/>
      <c r="F250" s="4"/>
      <c r="G250" s="34"/>
      <c r="H250" s="4"/>
      <c r="I250" s="4"/>
      <c r="J250" s="4"/>
      <c r="K250" s="4"/>
      <c r="L250" s="4"/>
      <c r="M250" s="4"/>
      <c r="N250" s="4"/>
      <c r="O250" s="88"/>
      <c r="P250" s="34"/>
      <c r="Q250" s="4"/>
      <c r="R250" s="4"/>
      <c r="S250" s="4"/>
      <c r="T250" s="4"/>
      <c r="U250" s="4"/>
      <c r="V250" s="4"/>
      <c r="W250" s="4"/>
      <c r="X250" s="4"/>
      <c r="Y250" s="4"/>
      <c r="Z250" s="34"/>
      <c r="AA250" s="4"/>
      <c r="AB250" s="4"/>
      <c r="AC250" s="4"/>
      <c r="AD250" s="93"/>
      <c r="AE250" s="4"/>
      <c r="AF250" s="142"/>
      <c r="AG250" s="4"/>
      <c r="AH250" s="4"/>
      <c r="AI250" s="4"/>
      <c r="AJ250" s="4"/>
      <c r="AK250" s="4"/>
      <c r="AL250" s="4"/>
      <c r="AM250" s="4"/>
      <c r="AN250" s="4"/>
    </row>
    <row r="251" spans="1:40" s="3" customFormat="1">
      <c r="A251" s="5"/>
      <c r="B251" s="4"/>
      <c r="C251" s="4"/>
      <c r="D251" s="4"/>
      <c r="E251" s="4"/>
      <c r="F251" s="4"/>
      <c r="G251" s="34"/>
      <c r="H251" s="4"/>
      <c r="I251" s="4"/>
      <c r="J251" s="4"/>
      <c r="K251" s="4"/>
      <c r="L251" s="4"/>
      <c r="M251" s="4"/>
      <c r="N251" s="4"/>
      <c r="O251" s="88"/>
      <c r="P251" s="34"/>
      <c r="Q251" s="4"/>
      <c r="R251" s="4"/>
      <c r="S251" s="4"/>
      <c r="T251" s="4"/>
      <c r="U251" s="4"/>
      <c r="V251" s="4"/>
      <c r="W251" s="4"/>
      <c r="X251" s="4"/>
      <c r="Y251" s="4"/>
      <c r="Z251" s="34"/>
      <c r="AA251" s="4"/>
      <c r="AB251" s="4"/>
      <c r="AC251" s="4"/>
      <c r="AD251" s="93"/>
      <c r="AE251" s="4"/>
      <c r="AF251" s="142"/>
      <c r="AG251" s="4"/>
      <c r="AH251" s="4"/>
      <c r="AI251" s="4"/>
      <c r="AJ251" s="4"/>
      <c r="AK251" s="4"/>
      <c r="AL251" s="4"/>
      <c r="AM251" s="4"/>
      <c r="AN251" s="4"/>
    </row>
    <row r="252" spans="1:40" s="3" customFormat="1">
      <c r="A252" s="5"/>
      <c r="B252" s="4"/>
      <c r="C252" s="4"/>
      <c r="D252" s="4"/>
      <c r="E252" s="4"/>
      <c r="F252" s="4"/>
      <c r="G252" s="34"/>
      <c r="H252" s="4"/>
      <c r="I252" s="4"/>
      <c r="J252" s="4"/>
      <c r="K252" s="4"/>
      <c r="L252" s="4"/>
      <c r="M252" s="4"/>
      <c r="N252" s="4"/>
      <c r="O252" s="88"/>
      <c r="P252" s="34"/>
      <c r="Q252" s="4"/>
      <c r="R252" s="4"/>
      <c r="S252" s="4"/>
      <c r="T252" s="4"/>
      <c r="U252" s="4"/>
      <c r="V252" s="4"/>
      <c r="W252" s="4"/>
      <c r="X252" s="4"/>
      <c r="Y252" s="4"/>
      <c r="Z252" s="34"/>
      <c r="AA252" s="4"/>
      <c r="AB252" s="4"/>
      <c r="AC252" s="4"/>
      <c r="AD252" s="93"/>
      <c r="AE252" s="4"/>
      <c r="AF252" s="142"/>
      <c r="AG252" s="4"/>
      <c r="AH252" s="4"/>
      <c r="AI252" s="4"/>
      <c r="AJ252" s="4"/>
      <c r="AK252" s="4"/>
      <c r="AL252" s="4"/>
      <c r="AM252" s="4"/>
      <c r="AN252" s="4"/>
    </row>
    <row r="253" spans="1:40" s="3" customFormat="1">
      <c r="A253" s="5"/>
      <c r="B253" s="4"/>
      <c r="C253" s="4"/>
      <c r="D253" s="4"/>
      <c r="E253" s="4"/>
      <c r="F253" s="4"/>
      <c r="G253" s="34"/>
      <c r="H253" s="4"/>
      <c r="I253" s="4"/>
      <c r="J253" s="4"/>
      <c r="K253" s="4"/>
      <c r="L253" s="4"/>
      <c r="M253" s="4"/>
      <c r="N253" s="4"/>
      <c r="O253" s="88"/>
      <c r="P253" s="34"/>
      <c r="Q253" s="4"/>
      <c r="R253" s="4"/>
      <c r="S253" s="4"/>
      <c r="T253" s="4"/>
      <c r="U253" s="4"/>
      <c r="V253" s="4"/>
      <c r="W253" s="4"/>
      <c r="X253" s="4"/>
      <c r="Y253" s="4"/>
      <c r="Z253" s="34"/>
      <c r="AA253" s="4"/>
      <c r="AB253" s="4"/>
      <c r="AC253" s="4"/>
      <c r="AD253" s="93"/>
      <c r="AE253" s="4"/>
      <c r="AF253" s="142"/>
      <c r="AG253" s="4"/>
      <c r="AH253" s="4"/>
      <c r="AI253" s="4"/>
      <c r="AJ253" s="4"/>
      <c r="AK253" s="4"/>
      <c r="AL253" s="4"/>
      <c r="AM253" s="4"/>
      <c r="AN253" s="4"/>
    </row>
    <row r="254" spans="1:40" s="3" customFormat="1">
      <c r="A254" s="5"/>
      <c r="B254" s="4"/>
      <c r="C254" s="4"/>
      <c r="D254" s="4"/>
      <c r="E254" s="4"/>
      <c r="F254" s="4"/>
      <c r="G254" s="34"/>
      <c r="H254" s="4"/>
      <c r="I254" s="4"/>
      <c r="J254" s="4"/>
      <c r="K254" s="4"/>
      <c r="L254" s="4"/>
      <c r="M254" s="4"/>
      <c r="N254" s="4"/>
      <c r="O254" s="88"/>
      <c r="P254" s="34"/>
      <c r="Q254" s="4"/>
      <c r="R254" s="4"/>
      <c r="S254" s="4"/>
      <c r="T254" s="4"/>
      <c r="U254" s="4"/>
      <c r="V254" s="4"/>
      <c r="W254" s="4"/>
      <c r="X254" s="4"/>
      <c r="Y254" s="4"/>
      <c r="Z254" s="34"/>
      <c r="AA254" s="4"/>
      <c r="AB254" s="4"/>
      <c r="AC254" s="4"/>
      <c r="AD254" s="93"/>
      <c r="AE254" s="4"/>
      <c r="AF254" s="142"/>
      <c r="AG254" s="4"/>
      <c r="AH254" s="4"/>
      <c r="AI254" s="4"/>
      <c r="AJ254" s="4"/>
      <c r="AK254" s="4"/>
      <c r="AL254" s="4"/>
      <c r="AM254" s="4"/>
      <c r="AN254" s="4"/>
    </row>
    <row r="255" spans="1:40" s="3" customFormat="1">
      <c r="A255" s="5"/>
      <c r="B255" s="4"/>
      <c r="C255" s="4"/>
      <c r="D255" s="4"/>
      <c r="E255" s="4"/>
      <c r="F255" s="4"/>
      <c r="G255" s="34"/>
      <c r="H255" s="4"/>
      <c r="I255" s="4"/>
      <c r="J255" s="4"/>
      <c r="K255" s="4"/>
      <c r="L255" s="4"/>
      <c r="M255" s="4"/>
      <c r="N255" s="4"/>
      <c r="O255" s="88"/>
      <c r="P255" s="34"/>
      <c r="Q255" s="4"/>
      <c r="R255" s="4"/>
      <c r="S255" s="4"/>
      <c r="T255" s="4"/>
      <c r="U255" s="4"/>
      <c r="V255" s="4"/>
      <c r="W255" s="4"/>
      <c r="X255" s="4"/>
      <c r="Y255" s="4"/>
      <c r="Z255" s="34"/>
      <c r="AA255" s="4"/>
      <c r="AB255" s="4"/>
      <c r="AC255" s="4"/>
      <c r="AD255" s="93"/>
      <c r="AE255" s="4"/>
      <c r="AF255" s="142"/>
      <c r="AG255" s="4"/>
      <c r="AH255" s="4"/>
      <c r="AI255" s="4"/>
      <c r="AJ255" s="4"/>
      <c r="AK255" s="4"/>
      <c r="AL255" s="4"/>
      <c r="AM255" s="4"/>
      <c r="AN255" s="4"/>
    </row>
    <row r="256" spans="1:40" s="3" customFormat="1">
      <c r="A256" s="5"/>
      <c r="B256" s="4"/>
      <c r="C256" s="4"/>
      <c r="D256" s="4"/>
      <c r="E256" s="4"/>
      <c r="F256" s="4"/>
      <c r="G256" s="34"/>
      <c r="H256" s="4"/>
      <c r="I256" s="4"/>
      <c r="J256" s="4"/>
      <c r="K256" s="4"/>
      <c r="L256" s="4"/>
      <c r="M256" s="4"/>
      <c r="N256" s="4"/>
      <c r="O256" s="88"/>
      <c r="P256" s="34"/>
      <c r="Q256" s="4"/>
      <c r="R256" s="4"/>
      <c r="S256" s="4"/>
      <c r="T256" s="4"/>
      <c r="U256" s="4"/>
      <c r="V256" s="4"/>
      <c r="W256" s="4"/>
      <c r="X256" s="4"/>
      <c r="Y256" s="4"/>
      <c r="Z256" s="34"/>
      <c r="AA256" s="4"/>
      <c r="AB256" s="4"/>
      <c r="AC256" s="4"/>
      <c r="AD256" s="93"/>
      <c r="AE256" s="4"/>
      <c r="AF256" s="142"/>
      <c r="AG256" s="4"/>
      <c r="AH256" s="4"/>
      <c r="AI256" s="4"/>
      <c r="AJ256" s="4"/>
      <c r="AK256" s="4"/>
      <c r="AL256" s="4"/>
      <c r="AM256" s="4"/>
      <c r="AN256" s="4"/>
    </row>
    <row r="257" spans="1:40" s="3" customFormat="1">
      <c r="A257" s="5"/>
      <c r="B257" s="4"/>
      <c r="C257" s="4"/>
      <c r="D257" s="4"/>
      <c r="E257" s="4"/>
      <c r="F257" s="4"/>
      <c r="G257" s="34"/>
      <c r="H257" s="4"/>
      <c r="I257" s="4"/>
      <c r="J257" s="4"/>
      <c r="K257" s="4"/>
      <c r="L257" s="4"/>
      <c r="M257" s="4"/>
      <c r="N257" s="4"/>
      <c r="O257" s="88"/>
      <c r="P257" s="34"/>
      <c r="Q257" s="4"/>
      <c r="R257" s="4"/>
      <c r="S257" s="4"/>
      <c r="T257" s="4"/>
      <c r="U257" s="4"/>
      <c r="V257" s="4"/>
      <c r="W257" s="4"/>
      <c r="X257" s="4"/>
      <c r="Y257" s="4"/>
      <c r="Z257" s="34"/>
      <c r="AA257" s="4"/>
      <c r="AB257" s="4"/>
      <c r="AC257" s="4"/>
      <c r="AD257" s="93"/>
      <c r="AE257" s="4"/>
      <c r="AF257" s="142"/>
      <c r="AG257" s="4"/>
      <c r="AH257" s="4"/>
      <c r="AI257" s="4"/>
      <c r="AJ257" s="4"/>
      <c r="AK257" s="4"/>
      <c r="AL257" s="4"/>
      <c r="AM257" s="4"/>
      <c r="AN257" s="4"/>
    </row>
    <row r="258" spans="1:40" s="3" customFormat="1">
      <c r="A258" s="5"/>
      <c r="B258" s="4"/>
      <c r="C258" s="4"/>
      <c r="D258" s="4"/>
      <c r="E258" s="4"/>
      <c r="F258" s="4"/>
      <c r="G258" s="34"/>
      <c r="H258" s="4"/>
      <c r="I258" s="4"/>
      <c r="J258" s="4"/>
      <c r="K258" s="4"/>
      <c r="L258" s="4"/>
      <c r="M258" s="4"/>
      <c r="N258" s="4"/>
      <c r="O258" s="88"/>
      <c r="P258" s="34"/>
      <c r="Q258" s="4"/>
      <c r="R258" s="4"/>
      <c r="S258" s="4"/>
      <c r="T258" s="4"/>
      <c r="U258" s="4"/>
      <c r="V258" s="4"/>
      <c r="W258" s="4"/>
      <c r="X258" s="4"/>
      <c r="Y258" s="4"/>
      <c r="Z258" s="34"/>
      <c r="AA258" s="4"/>
      <c r="AB258" s="4"/>
      <c r="AC258" s="4"/>
      <c r="AD258" s="93"/>
      <c r="AE258" s="4"/>
      <c r="AF258" s="142"/>
      <c r="AG258" s="4"/>
      <c r="AH258" s="4"/>
      <c r="AI258" s="4"/>
      <c r="AJ258" s="4"/>
      <c r="AK258" s="4"/>
      <c r="AL258" s="4"/>
      <c r="AM258" s="4"/>
      <c r="AN258" s="4"/>
    </row>
    <row r="259" spans="1:40" s="3" customFormat="1">
      <c r="A259" s="5"/>
      <c r="B259" s="4"/>
      <c r="C259" s="4"/>
      <c r="D259" s="4"/>
      <c r="E259" s="4"/>
      <c r="F259" s="4"/>
      <c r="G259" s="34"/>
      <c r="H259" s="4"/>
      <c r="I259" s="4"/>
      <c r="J259" s="4"/>
      <c r="K259" s="4"/>
      <c r="L259" s="4"/>
      <c r="M259" s="4"/>
      <c r="N259" s="4"/>
      <c r="O259" s="88"/>
      <c r="P259" s="34"/>
      <c r="Q259" s="4"/>
      <c r="R259" s="4"/>
      <c r="S259" s="4"/>
      <c r="T259" s="4"/>
      <c r="U259" s="4"/>
      <c r="V259" s="4"/>
      <c r="W259" s="4"/>
      <c r="X259" s="4"/>
      <c r="Y259" s="4"/>
      <c r="Z259" s="34"/>
      <c r="AA259" s="4"/>
      <c r="AB259" s="4"/>
      <c r="AC259" s="4"/>
      <c r="AD259" s="93"/>
      <c r="AE259" s="4"/>
      <c r="AF259" s="142"/>
      <c r="AG259" s="4"/>
      <c r="AH259" s="4"/>
      <c r="AI259" s="4"/>
      <c r="AJ259" s="4"/>
      <c r="AK259" s="4"/>
      <c r="AL259" s="4"/>
      <c r="AM259" s="4"/>
      <c r="AN259" s="4"/>
    </row>
    <row r="260" spans="1:40" s="3" customFormat="1">
      <c r="A260" s="5"/>
      <c r="B260" s="4"/>
      <c r="C260" s="4"/>
      <c r="D260" s="4"/>
      <c r="E260" s="4"/>
      <c r="F260" s="4"/>
      <c r="G260" s="34"/>
      <c r="H260" s="4"/>
      <c r="I260" s="4"/>
      <c r="J260" s="4"/>
      <c r="K260" s="4"/>
      <c r="L260" s="4"/>
      <c r="M260" s="4"/>
      <c r="N260" s="4"/>
      <c r="O260" s="88"/>
      <c r="P260" s="34"/>
      <c r="Q260" s="4"/>
      <c r="R260" s="4"/>
      <c r="S260" s="4"/>
      <c r="T260" s="4"/>
      <c r="U260" s="4"/>
      <c r="V260" s="4"/>
      <c r="W260" s="4"/>
      <c r="X260" s="4"/>
      <c r="Y260" s="4"/>
      <c r="Z260" s="34"/>
      <c r="AA260" s="4"/>
      <c r="AB260" s="4"/>
      <c r="AC260" s="4"/>
      <c r="AD260" s="93"/>
      <c r="AE260" s="4"/>
      <c r="AF260" s="142"/>
      <c r="AG260" s="4"/>
      <c r="AH260" s="4"/>
      <c r="AI260" s="4"/>
      <c r="AJ260" s="4"/>
      <c r="AK260" s="4"/>
      <c r="AL260" s="4"/>
      <c r="AM260" s="4"/>
      <c r="AN260" s="4"/>
    </row>
    <row r="261" spans="1:40" s="3" customFormat="1">
      <c r="A261" s="5"/>
      <c r="B261" s="4"/>
      <c r="C261" s="4"/>
      <c r="D261" s="4"/>
      <c r="E261" s="4"/>
      <c r="F261" s="4"/>
      <c r="G261" s="34"/>
      <c r="H261" s="4"/>
      <c r="I261" s="4"/>
      <c r="J261" s="4"/>
      <c r="K261" s="4"/>
      <c r="L261" s="4"/>
      <c r="M261" s="4"/>
      <c r="N261" s="4"/>
      <c r="O261" s="88"/>
      <c r="P261" s="34"/>
      <c r="Q261" s="4"/>
      <c r="R261" s="4"/>
      <c r="S261" s="4"/>
      <c r="T261" s="4"/>
      <c r="U261" s="4"/>
      <c r="V261" s="4"/>
      <c r="W261" s="4"/>
      <c r="X261" s="4"/>
      <c r="Y261" s="4"/>
      <c r="Z261" s="34"/>
      <c r="AA261" s="4"/>
      <c r="AB261" s="4"/>
      <c r="AC261" s="4"/>
      <c r="AD261" s="93"/>
      <c r="AE261" s="4"/>
      <c r="AF261" s="142"/>
      <c r="AG261" s="4"/>
      <c r="AH261" s="4"/>
      <c r="AI261" s="4"/>
      <c r="AJ261" s="4"/>
      <c r="AK261" s="4"/>
      <c r="AL261" s="4"/>
      <c r="AM261" s="4"/>
      <c r="AN261" s="4"/>
    </row>
    <row r="262" spans="1:40" s="3" customFormat="1">
      <c r="A262" s="5"/>
      <c r="B262" s="4"/>
      <c r="C262" s="4"/>
      <c r="D262" s="4"/>
      <c r="E262" s="4"/>
      <c r="F262" s="4"/>
      <c r="G262" s="34"/>
      <c r="H262" s="4"/>
      <c r="I262" s="4"/>
      <c r="J262" s="4"/>
      <c r="K262" s="4"/>
      <c r="L262" s="4"/>
      <c r="M262" s="4"/>
      <c r="N262" s="4"/>
      <c r="O262" s="88"/>
      <c r="P262" s="34"/>
      <c r="Q262" s="4"/>
      <c r="R262" s="4"/>
      <c r="S262" s="4"/>
      <c r="T262" s="4"/>
      <c r="U262" s="4"/>
      <c r="V262" s="4"/>
      <c r="W262" s="4"/>
      <c r="X262" s="4"/>
      <c r="Y262" s="4"/>
      <c r="Z262" s="34"/>
      <c r="AA262" s="4"/>
      <c r="AB262" s="4"/>
      <c r="AC262" s="4"/>
      <c r="AD262" s="93"/>
      <c r="AE262" s="4"/>
      <c r="AF262" s="142"/>
      <c r="AG262" s="4"/>
      <c r="AH262" s="4"/>
      <c r="AI262" s="4"/>
      <c r="AJ262" s="4"/>
      <c r="AK262" s="4"/>
      <c r="AL262" s="4"/>
      <c r="AM262" s="4"/>
      <c r="AN262" s="4"/>
    </row>
    <row r="263" spans="1:40" s="3" customFormat="1">
      <c r="A263" s="5"/>
      <c r="B263" s="4"/>
      <c r="C263" s="4"/>
      <c r="D263" s="4"/>
      <c r="E263" s="4"/>
      <c r="F263" s="4"/>
      <c r="G263" s="34"/>
      <c r="H263" s="4"/>
      <c r="I263" s="4"/>
      <c r="J263" s="4"/>
      <c r="K263" s="4"/>
      <c r="L263" s="4"/>
      <c r="M263" s="4"/>
      <c r="N263" s="4"/>
      <c r="O263" s="88"/>
      <c r="P263" s="34"/>
      <c r="Q263" s="4"/>
      <c r="R263" s="4"/>
      <c r="S263" s="4"/>
      <c r="T263" s="4"/>
      <c r="U263" s="4"/>
      <c r="V263" s="4"/>
      <c r="W263" s="4"/>
      <c r="X263" s="4"/>
      <c r="Y263" s="4"/>
      <c r="Z263" s="34"/>
      <c r="AA263" s="4"/>
      <c r="AB263" s="4"/>
      <c r="AC263" s="4"/>
      <c r="AD263" s="93"/>
      <c r="AE263" s="4"/>
      <c r="AF263" s="142"/>
      <c r="AG263" s="4"/>
      <c r="AH263" s="4"/>
      <c r="AI263" s="4"/>
      <c r="AJ263" s="4"/>
      <c r="AK263" s="4"/>
      <c r="AL263" s="4"/>
      <c r="AM263" s="4"/>
      <c r="AN263" s="4"/>
    </row>
    <row r="264" spans="1:40" s="3" customFormat="1">
      <c r="A264" s="5"/>
      <c r="B264" s="4"/>
      <c r="C264" s="4"/>
      <c r="D264" s="4"/>
      <c r="E264" s="4"/>
      <c r="F264" s="4"/>
      <c r="G264" s="34"/>
      <c r="H264" s="4"/>
      <c r="I264" s="4"/>
      <c r="J264" s="4"/>
      <c r="K264" s="4"/>
      <c r="L264" s="4"/>
      <c r="M264" s="4"/>
      <c r="N264" s="4"/>
      <c r="O264" s="88"/>
      <c r="P264" s="34"/>
      <c r="Q264" s="4"/>
      <c r="R264" s="4"/>
      <c r="S264" s="4"/>
      <c r="T264" s="4"/>
      <c r="U264" s="4"/>
      <c r="V264" s="4"/>
      <c r="W264" s="4"/>
      <c r="X264" s="4"/>
      <c r="Y264" s="4"/>
      <c r="Z264" s="34"/>
      <c r="AA264" s="4"/>
      <c r="AB264" s="4"/>
      <c r="AC264" s="4"/>
      <c r="AD264" s="93"/>
      <c r="AE264" s="4"/>
      <c r="AF264" s="142"/>
      <c r="AG264" s="4"/>
      <c r="AH264" s="4"/>
      <c r="AI264" s="4"/>
      <c r="AJ264" s="4"/>
      <c r="AK264" s="4"/>
      <c r="AL264" s="4"/>
      <c r="AM264" s="4"/>
      <c r="AN264" s="4"/>
    </row>
    <row r="265" spans="1:40" s="3" customFormat="1">
      <c r="A265" s="5"/>
      <c r="B265" s="4"/>
      <c r="C265" s="4"/>
      <c r="D265" s="4"/>
      <c r="E265" s="4"/>
      <c r="F265" s="4"/>
      <c r="G265" s="34"/>
      <c r="H265" s="4"/>
      <c r="I265" s="4"/>
      <c r="J265" s="4"/>
      <c r="K265" s="4"/>
      <c r="L265" s="4"/>
      <c r="M265" s="4"/>
      <c r="N265" s="4"/>
      <c r="O265" s="88"/>
      <c r="P265" s="34"/>
      <c r="Q265" s="4"/>
      <c r="R265" s="4"/>
      <c r="S265" s="4"/>
      <c r="T265" s="4"/>
      <c r="U265" s="4"/>
      <c r="V265" s="4"/>
      <c r="W265" s="4"/>
      <c r="X265" s="4"/>
      <c r="Y265" s="4"/>
      <c r="Z265" s="34"/>
      <c r="AA265" s="4"/>
      <c r="AB265" s="4"/>
      <c r="AC265" s="4"/>
      <c r="AD265" s="93"/>
      <c r="AE265" s="4"/>
      <c r="AF265" s="142"/>
      <c r="AG265" s="4"/>
      <c r="AH265" s="4"/>
      <c r="AI265" s="4"/>
      <c r="AJ265" s="4"/>
      <c r="AK265" s="4"/>
      <c r="AL265" s="4"/>
      <c r="AM265" s="4"/>
      <c r="AN265" s="4"/>
    </row>
    <row r="266" spans="1:40" s="3" customFormat="1">
      <c r="A266" s="5"/>
      <c r="B266" s="4"/>
      <c r="C266" s="4"/>
      <c r="D266" s="4"/>
      <c r="E266" s="4"/>
      <c r="F266" s="4"/>
      <c r="G266" s="34"/>
      <c r="H266" s="4"/>
      <c r="I266" s="4"/>
      <c r="J266" s="4"/>
      <c r="K266" s="4"/>
      <c r="L266" s="4"/>
      <c r="M266" s="4"/>
      <c r="N266" s="4"/>
      <c r="O266" s="88"/>
      <c r="P266" s="34"/>
      <c r="Q266" s="4"/>
      <c r="R266" s="4"/>
      <c r="S266" s="4"/>
      <c r="T266" s="4"/>
      <c r="U266" s="4"/>
      <c r="V266" s="4"/>
      <c r="W266" s="4"/>
      <c r="X266" s="4"/>
      <c r="Y266" s="4"/>
      <c r="Z266" s="34"/>
      <c r="AA266" s="4"/>
      <c r="AB266" s="4"/>
      <c r="AC266" s="4"/>
      <c r="AD266" s="93"/>
      <c r="AE266" s="4"/>
      <c r="AF266" s="142"/>
      <c r="AG266" s="4"/>
      <c r="AH266" s="4"/>
      <c r="AI266" s="4"/>
      <c r="AJ266" s="4"/>
      <c r="AK266" s="4"/>
      <c r="AL266" s="4"/>
      <c r="AM266" s="4"/>
      <c r="AN266" s="4"/>
    </row>
    <row r="267" spans="1:40" s="3" customFormat="1">
      <c r="A267" s="5"/>
      <c r="B267" s="4"/>
      <c r="C267" s="4"/>
      <c r="D267" s="4"/>
      <c r="E267" s="4"/>
      <c r="F267" s="4"/>
      <c r="G267" s="34"/>
      <c r="H267" s="4"/>
      <c r="I267" s="4"/>
      <c r="J267" s="4"/>
      <c r="K267" s="4"/>
      <c r="L267" s="4"/>
      <c r="M267" s="4"/>
      <c r="N267" s="4"/>
      <c r="O267" s="88"/>
      <c r="P267" s="34"/>
      <c r="Q267" s="4"/>
      <c r="R267" s="4"/>
      <c r="S267" s="4"/>
      <c r="T267" s="4"/>
      <c r="U267" s="4"/>
      <c r="V267" s="4"/>
      <c r="W267" s="4"/>
      <c r="X267" s="4"/>
      <c r="Y267" s="4"/>
      <c r="Z267" s="34"/>
      <c r="AA267" s="4"/>
      <c r="AB267" s="4"/>
      <c r="AC267" s="4"/>
      <c r="AD267" s="93"/>
      <c r="AE267" s="4"/>
      <c r="AF267" s="142"/>
      <c r="AG267" s="4"/>
      <c r="AH267" s="4"/>
      <c r="AI267" s="4"/>
      <c r="AJ267" s="4"/>
      <c r="AK267" s="4"/>
      <c r="AL267" s="4"/>
      <c r="AM267" s="4"/>
      <c r="AN267" s="4"/>
    </row>
    <row r="268" spans="1:40" s="3" customFormat="1">
      <c r="A268" s="5"/>
      <c r="B268" s="4"/>
      <c r="C268" s="4"/>
      <c r="D268" s="4"/>
      <c r="E268" s="4"/>
      <c r="F268" s="4"/>
      <c r="G268" s="34"/>
      <c r="H268" s="4"/>
      <c r="I268" s="4"/>
      <c r="J268" s="4"/>
      <c r="K268" s="4"/>
      <c r="L268" s="4"/>
      <c r="M268" s="4"/>
      <c r="N268" s="4"/>
      <c r="O268" s="88"/>
      <c r="P268" s="34"/>
      <c r="Q268" s="4"/>
      <c r="R268" s="4"/>
      <c r="S268" s="4"/>
      <c r="T268" s="4"/>
      <c r="U268" s="4"/>
      <c r="V268" s="4"/>
      <c r="W268" s="4"/>
      <c r="X268" s="4"/>
      <c r="Y268" s="4"/>
      <c r="Z268" s="34"/>
      <c r="AA268" s="4"/>
      <c r="AB268" s="4"/>
      <c r="AC268" s="4"/>
      <c r="AD268" s="93"/>
      <c r="AE268" s="4"/>
      <c r="AF268" s="142"/>
      <c r="AG268" s="4"/>
      <c r="AH268" s="4"/>
      <c r="AI268" s="4"/>
      <c r="AJ268" s="4"/>
      <c r="AK268" s="4"/>
      <c r="AL268" s="4"/>
      <c r="AM268" s="4"/>
      <c r="AN268" s="4"/>
    </row>
    <row r="269" spans="1:40" s="3" customFormat="1">
      <c r="A269" s="5"/>
      <c r="B269" s="4"/>
      <c r="C269" s="4"/>
      <c r="D269" s="4"/>
      <c r="E269" s="4"/>
      <c r="F269" s="4"/>
      <c r="G269" s="34"/>
      <c r="H269" s="4"/>
      <c r="I269" s="4"/>
      <c r="J269" s="4"/>
      <c r="K269" s="4"/>
      <c r="L269" s="4"/>
      <c r="M269" s="4"/>
      <c r="N269" s="4"/>
      <c r="O269" s="88"/>
      <c r="P269" s="34"/>
      <c r="Q269" s="4"/>
      <c r="R269" s="4"/>
      <c r="S269" s="4"/>
      <c r="T269" s="4"/>
      <c r="U269" s="4"/>
      <c r="V269" s="4"/>
      <c r="W269" s="4"/>
      <c r="X269" s="4"/>
      <c r="Y269" s="4"/>
      <c r="Z269" s="34"/>
      <c r="AA269" s="4"/>
      <c r="AB269" s="4"/>
      <c r="AC269" s="4"/>
      <c r="AD269" s="93"/>
      <c r="AE269" s="4"/>
      <c r="AF269" s="142"/>
      <c r="AG269" s="4"/>
      <c r="AH269" s="4"/>
      <c r="AI269" s="4"/>
      <c r="AJ269" s="4"/>
      <c r="AK269" s="4"/>
      <c r="AL269" s="4"/>
      <c r="AM269" s="4"/>
      <c r="AN269" s="4"/>
    </row>
    <row r="270" spans="1:40" s="3" customFormat="1">
      <c r="A270" s="5"/>
      <c r="B270" s="4"/>
      <c r="C270" s="4"/>
      <c r="D270" s="4"/>
      <c r="E270" s="4"/>
      <c r="F270" s="4"/>
      <c r="G270" s="34"/>
      <c r="H270" s="4"/>
      <c r="I270" s="4"/>
      <c r="J270" s="4"/>
      <c r="K270" s="4"/>
      <c r="L270" s="4"/>
      <c r="M270" s="4"/>
      <c r="N270" s="4"/>
      <c r="O270" s="88"/>
      <c r="P270" s="34"/>
      <c r="Q270" s="4"/>
      <c r="R270" s="4"/>
      <c r="S270" s="4"/>
      <c r="T270" s="4"/>
      <c r="U270" s="4"/>
      <c r="V270" s="4"/>
      <c r="W270" s="4"/>
      <c r="X270" s="4"/>
      <c r="Y270" s="4"/>
      <c r="Z270" s="34"/>
      <c r="AA270" s="4"/>
      <c r="AB270" s="4"/>
      <c r="AC270" s="4"/>
      <c r="AD270" s="93"/>
      <c r="AE270" s="4"/>
      <c r="AF270" s="142"/>
      <c r="AG270" s="4"/>
      <c r="AH270" s="4"/>
      <c r="AI270" s="4"/>
      <c r="AJ270" s="4"/>
      <c r="AK270" s="4"/>
      <c r="AL270" s="4"/>
      <c r="AM270" s="4"/>
      <c r="AN270" s="4"/>
    </row>
    <row r="271" spans="1:40" s="3" customFormat="1">
      <c r="A271" s="5"/>
      <c r="B271" s="4"/>
      <c r="C271" s="4"/>
      <c r="D271" s="4"/>
      <c r="E271" s="4"/>
      <c r="F271" s="4"/>
      <c r="G271" s="34"/>
      <c r="H271" s="4"/>
      <c r="I271" s="4"/>
      <c r="J271" s="4"/>
      <c r="K271" s="4"/>
      <c r="L271" s="4"/>
      <c r="M271" s="4"/>
      <c r="N271" s="4"/>
      <c r="O271" s="88"/>
      <c r="P271" s="34"/>
      <c r="Q271" s="4"/>
      <c r="R271" s="4"/>
      <c r="S271" s="4"/>
      <c r="T271" s="4"/>
      <c r="U271" s="4"/>
      <c r="V271" s="4"/>
      <c r="W271" s="4"/>
      <c r="X271" s="4"/>
      <c r="Y271" s="4"/>
      <c r="Z271" s="34"/>
      <c r="AA271" s="4"/>
      <c r="AB271" s="4"/>
      <c r="AC271" s="4"/>
      <c r="AD271" s="93"/>
      <c r="AE271" s="4"/>
      <c r="AF271" s="142"/>
      <c r="AG271" s="4"/>
      <c r="AH271" s="4"/>
      <c r="AI271" s="4"/>
      <c r="AJ271" s="4"/>
      <c r="AK271" s="4"/>
      <c r="AL271" s="4"/>
      <c r="AM271" s="4"/>
      <c r="AN271" s="4"/>
    </row>
    <row r="272" spans="1:40" s="3" customFormat="1">
      <c r="A272" s="5"/>
      <c r="B272" s="4"/>
      <c r="C272" s="4"/>
      <c r="D272" s="4"/>
      <c r="E272" s="4"/>
      <c r="F272" s="4"/>
      <c r="G272" s="34"/>
      <c r="H272" s="4"/>
      <c r="I272" s="4"/>
      <c r="J272" s="4"/>
      <c r="K272" s="4"/>
      <c r="L272" s="4"/>
      <c r="M272" s="4"/>
      <c r="N272" s="4"/>
      <c r="O272" s="88"/>
      <c r="P272" s="34"/>
      <c r="Q272" s="4"/>
      <c r="R272" s="4"/>
      <c r="S272" s="4"/>
      <c r="T272" s="4"/>
      <c r="U272" s="4"/>
      <c r="V272" s="4"/>
      <c r="W272" s="4"/>
      <c r="X272" s="4"/>
      <c r="Y272" s="4"/>
      <c r="Z272" s="34"/>
      <c r="AA272" s="4"/>
      <c r="AB272" s="4"/>
      <c r="AC272" s="4"/>
      <c r="AD272" s="93"/>
      <c r="AE272" s="4"/>
      <c r="AF272" s="142"/>
      <c r="AG272" s="4"/>
      <c r="AH272" s="4"/>
      <c r="AI272" s="4"/>
      <c r="AJ272" s="4"/>
      <c r="AK272" s="4"/>
      <c r="AL272" s="4"/>
      <c r="AM272" s="4"/>
      <c r="AN272" s="4"/>
    </row>
    <row r="273" spans="1:40" s="3" customFormat="1">
      <c r="A273" s="5"/>
      <c r="B273" s="4"/>
      <c r="C273" s="4"/>
      <c r="D273" s="4"/>
      <c r="E273" s="4"/>
      <c r="F273" s="4"/>
      <c r="G273" s="34"/>
      <c r="H273" s="4"/>
      <c r="I273" s="4"/>
      <c r="J273" s="4"/>
      <c r="K273" s="4"/>
      <c r="L273" s="4"/>
      <c r="M273" s="4"/>
      <c r="N273" s="4"/>
      <c r="O273" s="88"/>
      <c r="P273" s="34"/>
      <c r="Q273" s="4"/>
      <c r="R273" s="4"/>
      <c r="S273" s="4"/>
      <c r="T273" s="4"/>
      <c r="U273" s="4"/>
      <c r="V273" s="4"/>
      <c r="W273" s="4"/>
      <c r="X273" s="4"/>
      <c r="Y273" s="4"/>
      <c r="Z273" s="34"/>
      <c r="AA273" s="4"/>
      <c r="AB273" s="4"/>
      <c r="AC273" s="4"/>
      <c r="AD273" s="93"/>
      <c r="AE273" s="4"/>
      <c r="AF273" s="142"/>
      <c r="AG273" s="4"/>
      <c r="AH273" s="4"/>
      <c r="AI273" s="4"/>
      <c r="AJ273" s="4"/>
      <c r="AK273" s="4"/>
      <c r="AL273" s="4"/>
      <c r="AM273" s="4"/>
      <c r="AN273" s="4"/>
    </row>
    <row r="274" spans="1:40" s="3" customFormat="1">
      <c r="A274" s="5"/>
      <c r="B274" s="4"/>
      <c r="C274" s="4"/>
      <c r="D274" s="4"/>
      <c r="E274" s="4"/>
      <c r="F274" s="4"/>
      <c r="G274" s="34"/>
      <c r="H274" s="4"/>
      <c r="I274" s="4"/>
      <c r="J274" s="4"/>
      <c r="K274" s="4"/>
      <c r="L274" s="4"/>
      <c r="M274" s="4"/>
      <c r="N274" s="4"/>
      <c r="O274" s="88"/>
      <c r="P274" s="34"/>
      <c r="Q274" s="4"/>
      <c r="R274" s="4"/>
      <c r="S274" s="4"/>
      <c r="T274" s="4"/>
      <c r="U274" s="4"/>
      <c r="V274" s="4"/>
      <c r="W274" s="4"/>
      <c r="X274" s="4"/>
      <c r="Y274" s="4"/>
      <c r="Z274" s="34"/>
      <c r="AA274" s="4"/>
      <c r="AB274" s="4"/>
      <c r="AC274" s="4"/>
      <c r="AD274" s="93"/>
      <c r="AE274" s="4"/>
      <c r="AF274" s="142"/>
      <c r="AG274" s="4"/>
      <c r="AH274" s="4"/>
      <c r="AI274" s="4"/>
      <c r="AJ274" s="4"/>
      <c r="AK274" s="4"/>
      <c r="AL274" s="4"/>
      <c r="AM274" s="4"/>
      <c r="AN274" s="4"/>
    </row>
    <row r="275" spans="1:40" s="3" customFormat="1">
      <c r="A275" s="5"/>
      <c r="B275" s="4"/>
      <c r="C275" s="4"/>
      <c r="D275" s="4"/>
      <c r="E275" s="4"/>
      <c r="F275" s="4"/>
      <c r="G275" s="34"/>
      <c r="H275" s="4"/>
      <c r="I275" s="4"/>
      <c r="J275" s="4"/>
      <c r="K275" s="4"/>
      <c r="L275" s="4"/>
      <c r="M275" s="4"/>
      <c r="N275" s="4"/>
      <c r="O275" s="88"/>
      <c r="P275" s="34"/>
      <c r="Q275" s="4"/>
      <c r="R275" s="4"/>
      <c r="S275" s="4"/>
      <c r="T275" s="4"/>
      <c r="U275" s="4"/>
      <c r="V275" s="4"/>
      <c r="W275" s="4"/>
      <c r="X275" s="4"/>
      <c r="Y275" s="4"/>
      <c r="Z275" s="34"/>
      <c r="AA275" s="4"/>
      <c r="AB275" s="4"/>
      <c r="AC275" s="4"/>
      <c r="AD275" s="93"/>
      <c r="AE275" s="4"/>
      <c r="AF275" s="142"/>
      <c r="AG275" s="4"/>
      <c r="AH275" s="4"/>
      <c r="AI275" s="4"/>
      <c r="AJ275" s="4"/>
      <c r="AK275" s="4"/>
      <c r="AL275" s="4"/>
      <c r="AM275" s="4"/>
      <c r="AN275" s="4"/>
    </row>
    <row r="276" spans="1:40" s="3" customFormat="1">
      <c r="A276" s="5"/>
      <c r="B276" s="4"/>
      <c r="C276" s="4"/>
      <c r="D276" s="4"/>
      <c r="E276" s="4"/>
      <c r="F276" s="4"/>
      <c r="G276" s="34"/>
      <c r="H276" s="4"/>
      <c r="I276" s="4"/>
      <c r="J276" s="4"/>
      <c r="K276" s="4"/>
      <c r="L276" s="4"/>
      <c r="M276" s="4"/>
      <c r="N276" s="4"/>
      <c r="O276" s="88"/>
      <c r="P276" s="34"/>
      <c r="Q276" s="4"/>
      <c r="R276" s="4"/>
      <c r="S276" s="4"/>
      <c r="T276" s="4"/>
      <c r="U276" s="4"/>
      <c r="V276" s="4"/>
      <c r="W276" s="4"/>
      <c r="X276" s="4"/>
      <c r="Y276" s="4"/>
      <c r="Z276" s="34"/>
      <c r="AA276" s="4"/>
      <c r="AB276" s="4"/>
      <c r="AC276" s="4"/>
      <c r="AD276" s="93"/>
      <c r="AE276" s="4"/>
      <c r="AF276" s="142"/>
      <c r="AG276" s="4"/>
      <c r="AH276" s="4"/>
      <c r="AI276" s="4"/>
      <c r="AJ276" s="4"/>
      <c r="AK276" s="4"/>
      <c r="AL276" s="4"/>
      <c r="AM276" s="4"/>
      <c r="AN276" s="4"/>
    </row>
    <row r="277" spans="1:40" s="3" customFormat="1">
      <c r="A277" s="5"/>
      <c r="B277" s="4"/>
      <c r="C277" s="4"/>
      <c r="D277" s="4"/>
      <c r="E277" s="4"/>
      <c r="F277" s="4"/>
      <c r="G277" s="34"/>
      <c r="H277" s="4"/>
      <c r="I277" s="4"/>
      <c r="J277" s="4"/>
      <c r="K277" s="4"/>
      <c r="L277" s="4"/>
      <c r="M277" s="4"/>
      <c r="N277" s="4"/>
      <c r="O277" s="88"/>
      <c r="P277" s="34"/>
      <c r="Q277" s="4"/>
      <c r="R277" s="4"/>
      <c r="S277" s="4"/>
      <c r="T277" s="4"/>
      <c r="U277" s="4"/>
      <c r="V277" s="4"/>
      <c r="W277" s="4"/>
      <c r="X277" s="4"/>
      <c r="Y277" s="4"/>
      <c r="Z277" s="34"/>
      <c r="AA277" s="4"/>
      <c r="AB277" s="4"/>
      <c r="AC277" s="4"/>
      <c r="AD277" s="93"/>
      <c r="AE277" s="4"/>
      <c r="AF277" s="142"/>
      <c r="AG277" s="4"/>
      <c r="AH277" s="4"/>
      <c r="AI277" s="4"/>
      <c r="AJ277" s="4"/>
      <c r="AK277" s="4"/>
      <c r="AL277" s="4"/>
      <c r="AM277" s="4"/>
      <c r="AN277" s="4"/>
    </row>
    <row r="278" spans="1:40" s="3" customFormat="1">
      <c r="A278" s="5"/>
      <c r="B278" s="4"/>
      <c r="C278" s="4"/>
      <c r="D278" s="4"/>
      <c r="E278" s="4"/>
      <c r="F278" s="4"/>
      <c r="G278" s="34"/>
      <c r="H278" s="4"/>
      <c r="I278" s="4"/>
      <c r="J278" s="4"/>
      <c r="K278" s="4"/>
      <c r="L278" s="4"/>
      <c r="M278" s="4"/>
      <c r="N278" s="4"/>
      <c r="O278" s="88"/>
      <c r="P278" s="34"/>
      <c r="Q278" s="4"/>
      <c r="R278" s="4"/>
      <c r="S278" s="4"/>
      <c r="T278" s="4"/>
      <c r="U278" s="4"/>
      <c r="V278" s="4"/>
      <c r="W278" s="4"/>
      <c r="X278" s="4"/>
      <c r="Y278" s="4"/>
      <c r="Z278" s="34"/>
      <c r="AA278" s="4"/>
      <c r="AB278" s="4"/>
      <c r="AC278" s="4"/>
      <c r="AD278" s="93"/>
      <c r="AE278" s="4"/>
      <c r="AF278" s="142"/>
      <c r="AG278" s="4"/>
      <c r="AH278" s="4"/>
      <c r="AI278" s="4"/>
      <c r="AJ278" s="4"/>
      <c r="AK278" s="4"/>
      <c r="AL278" s="4"/>
      <c r="AM278" s="4"/>
      <c r="AN278" s="4"/>
    </row>
    <row r="279" spans="1:40" s="3" customFormat="1">
      <c r="A279" s="5"/>
      <c r="B279" s="4"/>
      <c r="C279" s="4"/>
      <c r="D279" s="4"/>
      <c r="E279" s="4"/>
      <c r="F279" s="4"/>
      <c r="G279" s="34"/>
      <c r="H279" s="4"/>
      <c r="I279" s="4"/>
      <c r="J279" s="4"/>
      <c r="K279" s="4"/>
      <c r="L279" s="4"/>
      <c r="M279" s="4"/>
      <c r="N279" s="4"/>
      <c r="O279" s="88"/>
      <c r="P279" s="34"/>
      <c r="Q279" s="4"/>
      <c r="R279" s="4"/>
      <c r="S279" s="4"/>
      <c r="T279" s="4"/>
      <c r="U279" s="4"/>
      <c r="V279" s="4"/>
      <c r="W279" s="4"/>
      <c r="X279" s="4"/>
      <c r="Y279" s="4"/>
      <c r="Z279" s="34"/>
      <c r="AA279" s="4"/>
      <c r="AB279" s="4"/>
      <c r="AC279" s="4"/>
      <c r="AD279" s="93"/>
      <c r="AE279" s="4"/>
      <c r="AF279" s="142"/>
      <c r="AG279" s="4"/>
      <c r="AH279" s="4"/>
      <c r="AI279" s="4"/>
      <c r="AJ279" s="4"/>
      <c r="AK279" s="4"/>
      <c r="AL279" s="4"/>
      <c r="AM279" s="4"/>
      <c r="AN279" s="4"/>
    </row>
    <row r="280" spans="1:40" s="3" customFormat="1">
      <c r="A280" s="5"/>
      <c r="B280" s="4"/>
      <c r="C280" s="4"/>
      <c r="D280" s="4"/>
      <c r="E280" s="4"/>
      <c r="F280" s="4"/>
      <c r="G280" s="34"/>
      <c r="H280" s="4"/>
      <c r="I280" s="4"/>
      <c r="J280" s="4"/>
      <c r="K280" s="4"/>
      <c r="L280" s="4"/>
      <c r="M280" s="4"/>
      <c r="N280" s="4"/>
      <c r="O280" s="88"/>
      <c r="P280" s="34"/>
      <c r="Q280" s="4"/>
      <c r="R280" s="4"/>
      <c r="S280" s="4"/>
      <c r="T280" s="4"/>
      <c r="U280" s="4"/>
      <c r="V280" s="4"/>
      <c r="W280" s="4"/>
      <c r="X280" s="4"/>
      <c r="Y280" s="4"/>
      <c r="Z280" s="34"/>
      <c r="AA280" s="4"/>
      <c r="AB280" s="4"/>
      <c r="AC280" s="4"/>
      <c r="AD280" s="93"/>
      <c r="AE280" s="4"/>
      <c r="AF280" s="142"/>
      <c r="AG280" s="4"/>
      <c r="AH280" s="4"/>
      <c r="AI280" s="4"/>
      <c r="AJ280" s="4"/>
      <c r="AK280" s="4"/>
      <c r="AL280" s="4"/>
      <c r="AM280" s="4"/>
      <c r="AN280" s="4"/>
    </row>
    <row r="281" spans="1:40" s="3" customFormat="1">
      <c r="A281" s="5"/>
      <c r="B281" s="4"/>
      <c r="C281" s="4"/>
      <c r="D281" s="4"/>
      <c r="E281" s="4"/>
      <c r="F281" s="4"/>
      <c r="G281" s="34"/>
      <c r="H281" s="4"/>
      <c r="I281" s="4"/>
      <c r="J281" s="4"/>
      <c r="K281" s="4"/>
      <c r="L281" s="4"/>
      <c r="M281" s="4"/>
      <c r="N281" s="4"/>
      <c r="O281" s="88"/>
      <c r="P281" s="34"/>
      <c r="Q281" s="4"/>
      <c r="R281" s="4"/>
      <c r="S281" s="4"/>
      <c r="T281" s="4"/>
      <c r="U281" s="4"/>
      <c r="V281" s="4"/>
      <c r="W281" s="4"/>
      <c r="X281" s="4"/>
      <c r="Y281" s="4"/>
      <c r="Z281" s="34"/>
      <c r="AA281" s="4"/>
      <c r="AB281" s="4"/>
      <c r="AC281" s="4"/>
      <c r="AD281" s="93"/>
      <c r="AE281" s="4"/>
      <c r="AF281" s="142"/>
      <c r="AG281" s="4"/>
      <c r="AH281" s="4"/>
      <c r="AI281" s="4"/>
      <c r="AJ281" s="4"/>
      <c r="AK281" s="4"/>
      <c r="AL281" s="4"/>
      <c r="AM281" s="4"/>
      <c r="AN281" s="4"/>
    </row>
    <row r="282" spans="1:40" s="3" customFormat="1">
      <c r="A282" s="5"/>
      <c r="B282" s="4"/>
      <c r="C282" s="4"/>
      <c r="D282" s="4"/>
      <c r="E282" s="4"/>
      <c r="F282" s="4"/>
      <c r="G282" s="34"/>
      <c r="H282" s="4"/>
      <c r="I282" s="4"/>
      <c r="J282" s="4"/>
      <c r="K282" s="4"/>
      <c r="L282" s="4"/>
      <c r="M282" s="4"/>
      <c r="N282" s="4"/>
      <c r="O282" s="88"/>
      <c r="P282" s="34"/>
      <c r="Q282" s="4"/>
      <c r="R282" s="4"/>
      <c r="S282" s="4"/>
      <c r="T282" s="4"/>
      <c r="U282" s="4"/>
      <c r="V282" s="4"/>
      <c r="W282" s="4"/>
      <c r="X282" s="4"/>
      <c r="Y282" s="4"/>
      <c r="Z282" s="34"/>
      <c r="AA282" s="4"/>
      <c r="AB282" s="4"/>
      <c r="AC282" s="4"/>
      <c r="AD282" s="93"/>
      <c r="AE282" s="4"/>
      <c r="AF282" s="142"/>
      <c r="AG282" s="4"/>
      <c r="AH282" s="4"/>
      <c r="AI282" s="4"/>
      <c r="AJ282" s="4"/>
      <c r="AK282" s="4"/>
      <c r="AL282" s="4"/>
      <c r="AM282" s="4"/>
      <c r="AN282" s="4"/>
    </row>
    <row r="283" spans="1:40" s="3" customFormat="1">
      <c r="A283" s="5"/>
      <c r="B283" s="4"/>
      <c r="C283" s="4"/>
      <c r="D283" s="4"/>
      <c r="E283" s="4"/>
      <c r="F283" s="4"/>
      <c r="G283" s="34"/>
      <c r="H283" s="4"/>
      <c r="I283" s="4"/>
      <c r="J283" s="4"/>
      <c r="K283" s="4"/>
      <c r="L283" s="4"/>
      <c r="M283" s="4"/>
      <c r="N283" s="4"/>
      <c r="O283" s="88"/>
      <c r="P283" s="34"/>
      <c r="Q283" s="4"/>
      <c r="R283" s="4"/>
      <c r="S283" s="4"/>
      <c r="T283" s="4"/>
      <c r="U283" s="4"/>
      <c r="V283" s="4"/>
      <c r="W283" s="4"/>
      <c r="X283" s="4"/>
      <c r="Y283" s="4"/>
      <c r="Z283" s="34"/>
      <c r="AA283" s="4"/>
      <c r="AB283" s="4"/>
      <c r="AC283" s="4"/>
      <c r="AD283" s="93"/>
      <c r="AE283" s="4"/>
      <c r="AF283" s="142"/>
      <c r="AG283" s="4"/>
      <c r="AH283" s="4"/>
      <c r="AI283" s="4"/>
      <c r="AJ283" s="4"/>
      <c r="AK283" s="4"/>
      <c r="AL283" s="4"/>
      <c r="AM283" s="4"/>
      <c r="AN283" s="4"/>
    </row>
    <row r="284" spans="1:40" s="3" customFormat="1">
      <c r="A284" s="5"/>
      <c r="B284" s="4"/>
      <c r="C284" s="4"/>
      <c r="D284" s="4"/>
      <c r="E284" s="4"/>
      <c r="F284" s="4"/>
      <c r="G284" s="34"/>
      <c r="H284" s="4"/>
      <c r="I284" s="4"/>
      <c r="J284" s="4"/>
      <c r="K284" s="4"/>
      <c r="L284" s="4"/>
      <c r="M284" s="4"/>
      <c r="N284" s="4"/>
      <c r="O284" s="88"/>
      <c r="P284" s="34"/>
      <c r="Q284" s="4"/>
      <c r="R284" s="4"/>
      <c r="S284" s="4"/>
      <c r="T284" s="4"/>
      <c r="U284" s="4"/>
      <c r="V284" s="4"/>
      <c r="W284" s="4"/>
      <c r="X284" s="4"/>
      <c r="Y284" s="4"/>
      <c r="Z284" s="34"/>
      <c r="AA284" s="4"/>
      <c r="AB284" s="4"/>
      <c r="AC284" s="4"/>
      <c r="AD284" s="93"/>
      <c r="AE284" s="4"/>
      <c r="AF284" s="142"/>
      <c r="AG284" s="4"/>
      <c r="AH284" s="4"/>
      <c r="AI284" s="4"/>
      <c r="AJ284" s="4"/>
      <c r="AK284" s="4"/>
      <c r="AL284" s="4"/>
      <c r="AM284" s="4"/>
      <c r="AN284" s="4"/>
    </row>
    <row r="285" spans="1:40" s="3" customFormat="1">
      <c r="A285" s="5"/>
      <c r="B285" s="4"/>
      <c r="C285" s="4"/>
      <c r="D285" s="4"/>
      <c r="E285" s="4"/>
      <c r="F285" s="4"/>
      <c r="G285" s="34"/>
      <c r="H285" s="4"/>
      <c r="I285" s="4"/>
      <c r="J285" s="4"/>
      <c r="K285" s="4"/>
      <c r="L285" s="4"/>
      <c r="M285" s="4"/>
      <c r="N285" s="4"/>
      <c r="O285" s="88"/>
      <c r="P285" s="34"/>
      <c r="Q285" s="4"/>
      <c r="R285" s="4"/>
      <c r="S285" s="4"/>
      <c r="T285" s="4"/>
      <c r="U285" s="4"/>
      <c r="V285" s="4"/>
      <c r="W285" s="4"/>
      <c r="X285" s="4"/>
      <c r="Y285" s="4"/>
      <c r="Z285" s="34"/>
      <c r="AA285" s="4"/>
      <c r="AB285" s="4"/>
      <c r="AC285" s="4"/>
      <c r="AD285" s="93"/>
      <c r="AE285" s="4"/>
      <c r="AF285" s="142"/>
      <c r="AG285" s="4"/>
      <c r="AH285" s="4"/>
      <c r="AI285" s="4"/>
      <c r="AJ285" s="4"/>
      <c r="AK285" s="4"/>
      <c r="AL285" s="4"/>
      <c r="AM285" s="4"/>
      <c r="AN285" s="4"/>
    </row>
    <row r="286" spans="1:40" s="3" customFormat="1">
      <c r="A286" s="5"/>
      <c r="B286" s="4"/>
      <c r="C286" s="4"/>
      <c r="D286" s="4"/>
      <c r="E286" s="4"/>
      <c r="F286" s="4"/>
      <c r="G286" s="34"/>
      <c r="H286" s="4"/>
      <c r="I286" s="4"/>
      <c r="J286" s="4"/>
      <c r="K286" s="4"/>
      <c r="L286" s="4"/>
      <c r="M286" s="4"/>
      <c r="N286" s="4"/>
      <c r="O286" s="88"/>
      <c r="P286" s="34"/>
      <c r="Q286" s="4"/>
      <c r="R286" s="4"/>
      <c r="S286" s="4"/>
      <c r="T286" s="4"/>
      <c r="U286" s="4"/>
      <c r="V286" s="4"/>
      <c r="W286" s="4"/>
      <c r="X286" s="4"/>
      <c r="Y286" s="4"/>
      <c r="Z286" s="34"/>
      <c r="AA286" s="4"/>
      <c r="AB286" s="4"/>
      <c r="AC286" s="4"/>
      <c r="AD286" s="93"/>
      <c r="AE286" s="4"/>
      <c r="AF286" s="142"/>
      <c r="AG286" s="4"/>
      <c r="AH286" s="4"/>
      <c r="AI286" s="4"/>
      <c r="AJ286" s="4"/>
      <c r="AK286" s="4"/>
      <c r="AL286" s="4"/>
      <c r="AM286" s="4"/>
      <c r="AN286" s="4"/>
    </row>
    <row r="287" spans="1:40" s="3" customFormat="1">
      <c r="A287" s="5"/>
      <c r="B287" s="4"/>
      <c r="C287" s="4"/>
      <c r="D287" s="4"/>
      <c r="E287" s="4"/>
      <c r="F287" s="4"/>
      <c r="G287" s="34"/>
      <c r="H287" s="4"/>
      <c r="I287" s="4"/>
      <c r="J287" s="4"/>
      <c r="K287" s="4"/>
      <c r="L287" s="4"/>
      <c r="M287" s="4"/>
      <c r="N287" s="4"/>
      <c r="O287" s="88"/>
      <c r="P287" s="34"/>
      <c r="Q287" s="4"/>
      <c r="R287" s="4"/>
      <c r="S287" s="4"/>
      <c r="T287" s="4"/>
      <c r="U287" s="4"/>
      <c r="V287" s="4"/>
      <c r="W287" s="4"/>
      <c r="X287" s="4"/>
      <c r="Y287" s="4"/>
      <c r="Z287" s="34"/>
      <c r="AA287" s="4"/>
      <c r="AB287" s="4"/>
      <c r="AC287" s="4"/>
      <c r="AD287" s="93"/>
      <c r="AE287" s="4"/>
      <c r="AF287" s="142"/>
      <c r="AG287" s="4"/>
      <c r="AH287" s="4"/>
      <c r="AI287" s="4"/>
      <c r="AJ287" s="4"/>
      <c r="AK287" s="4"/>
      <c r="AL287" s="4"/>
      <c r="AM287" s="4"/>
      <c r="AN287" s="4"/>
    </row>
    <row r="288" spans="1:40" s="3" customFormat="1">
      <c r="A288" s="5"/>
      <c r="B288" s="4"/>
      <c r="C288" s="4"/>
      <c r="D288" s="4"/>
      <c r="E288" s="4"/>
      <c r="F288" s="4"/>
      <c r="G288" s="34"/>
      <c r="H288" s="4"/>
      <c r="I288" s="4"/>
      <c r="J288" s="4"/>
      <c r="K288" s="4"/>
      <c r="L288" s="4"/>
      <c r="M288" s="4"/>
      <c r="N288" s="4"/>
      <c r="O288" s="88"/>
      <c r="P288" s="34"/>
      <c r="Q288" s="4"/>
      <c r="R288" s="4"/>
      <c r="S288" s="4"/>
      <c r="T288" s="4"/>
      <c r="U288" s="4"/>
      <c r="V288" s="4"/>
      <c r="W288" s="4"/>
      <c r="X288" s="4"/>
      <c r="Y288" s="4"/>
      <c r="Z288" s="34"/>
      <c r="AA288" s="4"/>
      <c r="AB288" s="4"/>
      <c r="AC288" s="4"/>
      <c r="AD288" s="93"/>
      <c r="AE288" s="4"/>
      <c r="AF288" s="142"/>
      <c r="AG288" s="4"/>
      <c r="AH288" s="4"/>
      <c r="AI288" s="4"/>
      <c r="AJ288" s="4"/>
      <c r="AK288" s="4"/>
      <c r="AL288" s="4"/>
      <c r="AM288" s="4"/>
      <c r="AN288" s="4"/>
    </row>
    <row r="289" spans="1:40" s="3" customFormat="1">
      <c r="A289" s="5"/>
      <c r="B289" s="4"/>
      <c r="C289" s="4"/>
      <c r="D289" s="4"/>
      <c r="E289" s="4"/>
      <c r="F289" s="4"/>
      <c r="G289" s="34"/>
      <c r="H289" s="4"/>
      <c r="I289" s="4"/>
      <c r="J289" s="4"/>
      <c r="K289" s="4"/>
      <c r="L289" s="4"/>
      <c r="M289" s="4"/>
      <c r="N289" s="4"/>
      <c r="O289" s="88"/>
      <c r="P289" s="34"/>
      <c r="Q289" s="4"/>
      <c r="R289" s="4"/>
      <c r="S289" s="4"/>
      <c r="T289" s="4"/>
      <c r="U289" s="4"/>
      <c r="V289" s="4"/>
      <c r="W289" s="4"/>
      <c r="X289" s="4"/>
      <c r="Y289" s="4"/>
      <c r="Z289" s="34"/>
      <c r="AA289" s="4"/>
      <c r="AB289" s="4"/>
      <c r="AC289" s="4"/>
      <c r="AD289" s="93"/>
      <c r="AE289" s="4"/>
      <c r="AF289" s="142"/>
      <c r="AG289" s="4"/>
      <c r="AH289" s="4"/>
      <c r="AI289" s="4"/>
      <c r="AJ289" s="4"/>
      <c r="AK289" s="4"/>
      <c r="AL289" s="4"/>
      <c r="AM289" s="4"/>
      <c r="AN289" s="4"/>
    </row>
    <row r="290" spans="1:40" s="3" customFormat="1">
      <c r="A290" s="5"/>
      <c r="B290" s="4"/>
      <c r="C290" s="4"/>
      <c r="D290" s="4"/>
      <c r="E290" s="4"/>
      <c r="F290" s="4"/>
      <c r="G290" s="34"/>
      <c r="H290" s="4"/>
      <c r="I290" s="4"/>
      <c r="J290" s="4"/>
      <c r="K290" s="4"/>
      <c r="L290" s="4"/>
      <c r="M290" s="4"/>
      <c r="N290" s="4"/>
      <c r="O290" s="88"/>
      <c r="P290" s="34"/>
      <c r="Q290" s="4"/>
      <c r="R290" s="4"/>
      <c r="S290" s="4"/>
      <c r="T290" s="4"/>
      <c r="U290" s="4"/>
      <c r="V290" s="4"/>
      <c r="W290" s="4"/>
      <c r="X290" s="4"/>
      <c r="Y290" s="4"/>
      <c r="Z290" s="34"/>
      <c r="AA290" s="4"/>
      <c r="AB290" s="4"/>
      <c r="AC290" s="4"/>
      <c r="AD290" s="93"/>
      <c r="AE290" s="4"/>
      <c r="AF290" s="142"/>
      <c r="AG290" s="4"/>
      <c r="AH290" s="4"/>
      <c r="AI290" s="4"/>
      <c r="AJ290" s="4"/>
      <c r="AK290" s="4"/>
      <c r="AL290" s="4"/>
      <c r="AM290" s="4"/>
      <c r="AN290" s="4"/>
    </row>
    <row r="291" spans="1:40" s="3" customFormat="1">
      <c r="A291" s="5"/>
      <c r="B291" s="4"/>
      <c r="C291" s="4"/>
      <c r="D291" s="4"/>
      <c r="E291" s="4"/>
      <c r="F291" s="4"/>
      <c r="G291" s="34"/>
      <c r="H291" s="4"/>
      <c r="I291" s="4"/>
      <c r="J291" s="4"/>
      <c r="K291" s="4"/>
      <c r="L291" s="4"/>
      <c r="M291" s="4"/>
      <c r="N291" s="4"/>
      <c r="O291" s="88"/>
      <c r="P291" s="34"/>
      <c r="Q291" s="4"/>
      <c r="R291" s="4"/>
      <c r="S291" s="4"/>
      <c r="T291" s="4"/>
      <c r="U291" s="4"/>
      <c r="V291" s="4"/>
      <c r="W291" s="4"/>
      <c r="X291" s="4"/>
      <c r="Y291" s="4"/>
      <c r="Z291" s="34"/>
      <c r="AA291" s="4"/>
      <c r="AB291" s="4"/>
      <c r="AC291" s="4"/>
      <c r="AD291" s="93"/>
      <c r="AE291" s="4"/>
      <c r="AF291" s="142"/>
      <c r="AG291" s="4"/>
      <c r="AH291" s="4"/>
      <c r="AI291" s="4"/>
      <c r="AJ291" s="4"/>
      <c r="AK291" s="4"/>
      <c r="AL291" s="4"/>
      <c r="AM291" s="4"/>
      <c r="AN291" s="4"/>
    </row>
    <row r="292" spans="1:40" s="3" customFormat="1">
      <c r="A292" s="5"/>
      <c r="B292" s="4"/>
      <c r="C292" s="4"/>
      <c r="D292" s="4"/>
      <c r="E292" s="4"/>
      <c r="F292" s="4"/>
      <c r="G292" s="34"/>
      <c r="H292" s="4"/>
      <c r="I292" s="4"/>
      <c r="J292" s="4"/>
      <c r="K292" s="4"/>
      <c r="L292" s="4"/>
      <c r="M292" s="4"/>
      <c r="N292" s="4"/>
      <c r="O292" s="88"/>
      <c r="P292" s="34"/>
      <c r="Q292" s="4"/>
      <c r="R292" s="4"/>
      <c r="S292" s="4"/>
      <c r="T292" s="4"/>
      <c r="U292" s="4"/>
      <c r="V292" s="4"/>
      <c r="W292" s="4"/>
      <c r="X292" s="4"/>
      <c r="Y292" s="4"/>
      <c r="Z292" s="34"/>
      <c r="AA292" s="4"/>
      <c r="AB292" s="4"/>
      <c r="AC292" s="4"/>
      <c r="AD292" s="93"/>
      <c r="AE292" s="4"/>
      <c r="AF292" s="142"/>
      <c r="AG292" s="4"/>
      <c r="AH292" s="4"/>
      <c r="AI292" s="4"/>
      <c r="AJ292" s="4"/>
      <c r="AK292" s="4"/>
      <c r="AL292" s="4"/>
      <c r="AM292" s="4"/>
      <c r="AN292" s="4"/>
    </row>
    <row r="293" spans="1:40" s="3" customFormat="1">
      <c r="A293" s="5"/>
      <c r="B293" s="4"/>
      <c r="C293" s="4"/>
      <c r="D293" s="4"/>
      <c r="E293" s="4"/>
      <c r="F293" s="4"/>
      <c r="G293" s="34"/>
      <c r="H293" s="4"/>
      <c r="I293" s="4"/>
      <c r="J293" s="4"/>
      <c r="K293" s="4"/>
      <c r="L293" s="4"/>
      <c r="M293" s="4"/>
      <c r="N293" s="4"/>
      <c r="O293" s="88"/>
      <c r="P293" s="34"/>
      <c r="Q293" s="4"/>
      <c r="R293" s="4"/>
      <c r="S293" s="4"/>
      <c r="T293" s="4"/>
      <c r="U293" s="4"/>
      <c r="V293" s="4"/>
      <c r="W293" s="4"/>
      <c r="X293" s="4"/>
      <c r="Y293" s="4"/>
      <c r="Z293" s="34"/>
      <c r="AA293" s="4"/>
      <c r="AB293" s="4"/>
      <c r="AC293" s="4"/>
      <c r="AD293" s="93"/>
      <c r="AE293" s="4"/>
      <c r="AF293" s="142"/>
      <c r="AG293" s="4"/>
      <c r="AH293" s="4"/>
      <c r="AI293" s="4"/>
      <c r="AJ293" s="4"/>
      <c r="AK293" s="4"/>
      <c r="AL293" s="4"/>
      <c r="AM293" s="4"/>
      <c r="AN293" s="4"/>
    </row>
    <row r="294" spans="1:40" s="3" customFormat="1">
      <c r="A294" s="5"/>
      <c r="B294" s="4"/>
      <c r="C294" s="4"/>
      <c r="D294" s="4"/>
      <c r="E294" s="4"/>
      <c r="F294" s="4"/>
      <c r="G294" s="34"/>
      <c r="H294" s="4"/>
      <c r="I294" s="4"/>
      <c r="J294" s="4"/>
      <c r="K294" s="4"/>
      <c r="L294" s="4"/>
      <c r="M294" s="4"/>
      <c r="N294" s="4"/>
      <c r="O294" s="88"/>
      <c r="P294" s="34"/>
      <c r="Q294" s="4"/>
      <c r="R294" s="4"/>
      <c r="S294" s="4"/>
      <c r="T294" s="4"/>
      <c r="U294" s="4"/>
      <c r="V294" s="4"/>
      <c r="W294" s="4"/>
      <c r="X294" s="4"/>
      <c r="Y294" s="4"/>
      <c r="Z294" s="34"/>
      <c r="AA294" s="4"/>
      <c r="AB294" s="4"/>
      <c r="AC294" s="4"/>
      <c r="AD294" s="93"/>
      <c r="AE294" s="4"/>
      <c r="AF294" s="142"/>
      <c r="AG294" s="4"/>
      <c r="AH294" s="4"/>
      <c r="AI294" s="4"/>
      <c r="AJ294" s="4"/>
      <c r="AK294" s="4"/>
      <c r="AL294" s="4"/>
      <c r="AM294" s="4"/>
      <c r="AN294" s="4"/>
    </row>
    <row r="295" spans="1:40" s="3" customFormat="1">
      <c r="A295" s="5"/>
      <c r="B295" s="4"/>
      <c r="C295" s="4"/>
      <c r="D295" s="4"/>
      <c r="E295" s="4"/>
      <c r="F295" s="4"/>
      <c r="G295" s="34"/>
      <c r="H295" s="4"/>
      <c r="I295" s="4"/>
      <c r="J295" s="4"/>
      <c r="K295" s="4"/>
      <c r="L295" s="4"/>
      <c r="M295" s="4"/>
      <c r="N295" s="4"/>
      <c r="O295" s="88"/>
      <c r="P295" s="34"/>
      <c r="Q295" s="4"/>
      <c r="R295" s="4"/>
      <c r="S295" s="4"/>
      <c r="T295" s="4"/>
      <c r="U295" s="4"/>
      <c r="V295" s="4"/>
      <c r="W295" s="4"/>
      <c r="X295" s="4"/>
      <c r="Y295" s="4"/>
      <c r="Z295" s="34"/>
      <c r="AA295" s="4"/>
      <c r="AB295" s="4"/>
      <c r="AC295" s="4"/>
      <c r="AD295" s="93"/>
      <c r="AE295" s="4"/>
      <c r="AF295" s="142"/>
      <c r="AG295" s="4"/>
      <c r="AH295" s="4"/>
      <c r="AI295" s="4"/>
      <c r="AJ295" s="4"/>
      <c r="AK295" s="4"/>
      <c r="AL295" s="4"/>
      <c r="AM295" s="4"/>
      <c r="AN295" s="4"/>
    </row>
    <row r="296" spans="1:40" s="3" customFormat="1">
      <c r="A296" s="5"/>
      <c r="B296" s="4"/>
      <c r="C296" s="4"/>
      <c r="D296" s="4"/>
      <c r="E296" s="4"/>
      <c r="F296" s="4"/>
      <c r="G296" s="34"/>
      <c r="H296" s="4"/>
      <c r="I296" s="4"/>
      <c r="J296" s="4"/>
      <c r="K296" s="4"/>
      <c r="L296" s="4"/>
      <c r="M296" s="4"/>
      <c r="N296" s="4"/>
      <c r="O296" s="88"/>
      <c r="P296" s="34"/>
      <c r="Q296" s="4"/>
      <c r="R296" s="4"/>
      <c r="S296" s="4"/>
      <c r="T296" s="4"/>
      <c r="U296" s="4"/>
      <c r="V296" s="4"/>
      <c r="W296" s="4"/>
      <c r="X296" s="4"/>
      <c r="Y296" s="4"/>
      <c r="Z296" s="34"/>
      <c r="AA296" s="4"/>
      <c r="AB296" s="4"/>
      <c r="AC296" s="4"/>
      <c r="AD296" s="93"/>
      <c r="AE296" s="4"/>
      <c r="AF296" s="142"/>
      <c r="AG296" s="4"/>
      <c r="AH296" s="4"/>
      <c r="AI296" s="4"/>
      <c r="AJ296" s="4"/>
      <c r="AK296" s="4"/>
      <c r="AL296" s="4"/>
      <c r="AM296" s="4"/>
      <c r="AN296" s="4"/>
    </row>
    <row r="297" spans="1:40" s="3" customFormat="1">
      <c r="A297" s="5"/>
      <c r="B297" s="4"/>
      <c r="C297" s="4"/>
      <c r="D297" s="4"/>
      <c r="E297" s="4"/>
      <c r="F297" s="4"/>
      <c r="G297" s="34"/>
      <c r="H297" s="4"/>
      <c r="I297" s="4"/>
      <c r="J297" s="4"/>
      <c r="K297" s="4"/>
      <c r="L297" s="4"/>
      <c r="M297" s="4"/>
      <c r="N297" s="4"/>
      <c r="O297" s="88"/>
      <c r="P297" s="34"/>
      <c r="Q297" s="4"/>
      <c r="R297" s="4"/>
      <c r="S297" s="4"/>
      <c r="T297" s="4"/>
      <c r="U297" s="4"/>
      <c r="V297" s="4"/>
      <c r="W297" s="4"/>
      <c r="X297" s="4"/>
      <c r="Y297" s="4"/>
      <c r="Z297" s="34"/>
      <c r="AA297" s="4"/>
      <c r="AB297" s="4"/>
      <c r="AC297" s="4"/>
      <c r="AD297" s="93"/>
      <c r="AE297" s="4"/>
      <c r="AF297" s="142"/>
      <c r="AG297" s="4"/>
      <c r="AH297" s="4"/>
      <c r="AI297" s="4"/>
      <c r="AJ297" s="4"/>
      <c r="AK297" s="4"/>
      <c r="AL297" s="4"/>
      <c r="AM297" s="4"/>
      <c r="AN297" s="4"/>
    </row>
    <row r="298" spans="1:40" s="3" customFormat="1">
      <c r="A298" s="5"/>
      <c r="B298" s="4"/>
      <c r="C298" s="4"/>
      <c r="D298" s="4"/>
      <c r="E298" s="4"/>
      <c r="F298" s="4"/>
      <c r="G298" s="34"/>
      <c r="H298" s="4"/>
      <c r="I298" s="4"/>
      <c r="J298" s="4"/>
      <c r="K298" s="4"/>
      <c r="L298" s="4"/>
      <c r="M298" s="4"/>
      <c r="N298" s="4"/>
      <c r="O298" s="88"/>
      <c r="P298" s="34"/>
      <c r="Q298" s="4"/>
      <c r="R298" s="4"/>
      <c r="S298" s="4"/>
      <c r="T298" s="4"/>
      <c r="U298" s="4"/>
      <c r="V298" s="4"/>
      <c r="W298" s="4"/>
      <c r="X298" s="4"/>
      <c r="Y298" s="4"/>
      <c r="Z298" s="34"/>
      <c r="AA298" s="4"/>
      <c r="AB298" s="4"/>
      <c r="AC298" s="4"/>
      <c r="AD298" s="93"/>
      <c r="AE298" s="4"/>
      <c r="AF298" s="142"/>
      <c r="AG298" s="4"/>
      <c r="AH298" s="4"/>
      <c r="AI298" s="4"/>
      <c r="AJ298" s="4"/>
      <c r="AK298" s="4"/>
      <c r="AL298" s="4"/>
      <c r="AM298" s="4"/>
      <c r="AN298" s="4"/>
    </row>
    <row r="299" spans="1:40" s="3" customFormat="1">
      <c r="A299" s="5"/>
      <c r="B299" s="4"/>
      <c r="C299" s="4"/>
      <c r="D299" s="4"/>
      <c r="E299" s="4"/>
      <c r="F299" s="4"/>
      <c r="G299" s="34"/>
      <c r="H299" s="4"/>
      <c r="I299" s="4"/>
      <c r="J299" s="4"/>
      <c r="K299" s="4"/>
      <c r="L299" s="4"/>
      <c r="M299" s="4"/>
      <c r="N299" s="4"/>
      <c r="O299" s="88"/>
      <c r="P299" s="34"/>
      <c r="Q299" s="4"/>
      <c r="R299" s="4"/>
      <c r="S299" s="4"/>
      <c r="T299" s="4"/>
      <c r="U299" s="4"/>
      <c r="V299" s="4"/>
      <c r="W299" s="4"/>
      <c r="X299" s="4"/>
      <c r="Y299" s="4"/>
      <c r="Z299" s="34"/>
      <c r="AA299" s="4"/>
      <c r="AB299" s="4"/>
      <c r="AC299" s="4"/>
      <c r="AD299" s="93"/>
      <c r="AE299" s="4"/>
      <c r="AF299" s="142"/>
      <c r="AG299" s="4"/>
      <c r="AH299" s="4"/>
      <c r="AI299" s="4"/>
      <c r="AJ299" s="4"/>
      <c r="AK299" s="4"/>
      <c r="AL299" s="4"/>
      <c r="AM299" s="4"/>
      <c r="AN299" s="4"/>
    </row>
    <row r="300" spans="1:40" s="3" customFormat="1">
      <c r="A300" s="5"/>
      <c r="B300" s="4"/>
      <c r="C300" s="4"/>
      <c r="D300" s="4"/>
      <c r="E300" s="4"/>
      <c r="F300" s="4"/>
      <c r="G300" s="34"/>
      <c r="H300" s="4"/>
      <c r="I300" s="4"/>
      <c r="J300" s="4"/>
      <c r="K300" s="4"/>
      <c r="L300" s="4"/>
      <c r="M300" s="4"/>
      <c r="N300" s="4"/>
      <c r="O300" s="88"/>
      <c r="P300" s="34"/>
      <c r="Q300" s="4"/>
      <c r="R300" s="4"/>
      <c r="S300" s="4"/>
      <c r="T300" s="4"/>
      <c r="U300" s="4"/>
      <c r="V300" s="4"/>
      <c r="W300" s="4"/>
      <c r="X300" s="4"/>
      <c r="Y300" s="4"/>
      <c r="Z300" s="34"/>
      <c r="AA300" s="4"/>
      <c r="AB300" s="4"/>
      <c r="AC300" s="4"/>
      <c r="AD300" s="93"/>
      <c r="AE300" s="4"/>
      <c r="AF300" s="142"/>
      <c r="AG300" s="4"/>
      <c r="AH300" s="4"/>
      <c r="AI300" s="4"/>
      <c r="AJ300" s="4"/>
      <c r="AK300" s="4"/>
      <c r="AL300" s="4"/>
      <c r="AM300" s="4"/>
      <c r="AN300" s="4"/>
    </row>
    <row r="301" spans="1:40" s="3" customFormat="1">
      <c r="A301" s="5"/>
      <c r="B301" s="4"/>
      <c r="C301" s="4"/>
      <c r="D301" s="4"/>
      <c r="E301" s="4"/>
      <c r="F301" s="4"/>
      <c r="G301" s="34"/>
      <c r="H301" s="4"/>
      <c r="I301" s="4"/>
      <c r="J301" s="4"/>
      <c r="K301" s="4"/>
      <c r="L301" s="4"/>
      <c r="M301" s="4"/>
      <c r="N301" s="4"/>
      <c r="O301" s="88"/>
      <c r="P301" s="34"/>
      <c r="Q301" s="4"/>
      <c r="R301" s="4"/>
      <c r="S301" s="4"/>
      <c r="T301" s="4"/>
      <c r="U301" s="4"/>
      <c r="V301" s="4"/>
      <c r="W301" s="4"/>
      <c r="X301" s="4"/>
      <c r="Y301" s="4"/>
      <c r="Z301" s="34"/>
      <c r="AA301" s="4"/>
      <c r="AB301" s="4"/>
      <c r="AC301" s="4"/>
      <c r="AD301" s="93"/>
      <c r="AE301" s="4"/>
      <c r="AF301" s="142"/>
      <c r="AG301" s="4"/>
      <c r="AH301" s="4"/>
      <c r="AI301" s="4"/>
      <c r="AJ301" s="4"/>
      <c r="AK301" s="4"/>
      <c r="AL301" s="4"/>
      <c r="AM301" s="4"/>
      <c r="AN301" s="4"/>
    </row>
    <row r="302" spans="1:40" s="3" customFormat="1">
      <c r="A302" s="5"/>
      <c r="B302" s="4"/>
      <c r="C302" s="4"/>
      <c r="D302" s="4"/>
      <c r="E302" s="4"/>
      <c r="F302" s="4"/>
      <c r="G302" s="34"/>
      <c r="H302" s="4"/>
      <c r="I302" s="4"/>
      <c r="J302" s="4"/>
      <c r="K302" s="4"/>
      <c r="L302" s="4"/>
      <c r="M302" s="4"/>
      <c r="N302" s="4"/>
      <c r="O302" s="88"/>
      <c r="P302" s="34"/>
      <c r="Q302" s="4"/>
      <c r="R302" s="4"/>
      <c r="S302" s="4"/>
      <c r="T302" s="4"/>
      <c r="U302" s="4"/>
      <c r="V302" s="4"/>
      <c r="W302" s="4"/>
      <c r="X302" s="4"/>
      <c r="Y302" s="4"/>
      <c r="Z302" s="34"/>
      <c r="AA302" s="4"/>
      <c r="AB302" s="4"/>
      <c r="AC302" s="4"/>
      <c r="AD302" s="93"/>
      <c r="AE302" s="4"/>
      <c r="AF302" s="142"/>
      <c r="AG302" s="4"/>
      <c r="AH302" s="4"/>
      <c r="AI302" s="4"/>
      <c r="AJ302" s="4"/>
      <c r="AK302" s="4"/>
      <c r="AL302" s="4"/>
      <c r="AM302" s="4"/>
      <c r="AN302" s="4"/>
    </row>
    <row r="303" spans="1:40" s="3" customFormat="1">
      <c r="A303" s="5"/>
      <c r="B303" s="4"/>
      <c r="C303" s="4"/>
      <c r="D303" s="4"/>
      <c r="E303" s="4"/>
      <c r="F303" s="4"/>
      <c r="G303" s="34"/>
      <c r="H303" s="4"/>
      <c r="I303" s="4"/>
      <c r="J303" s="4"/>
      <c r="K303" s="4"/>
      <c r="L303" s="4"/>
      <c r="M303" s="4"/>
      <c r="N303" s="4"/>
      <c r="O303" s="88"/>
      <c r="P303" s="34"/>
      <c r="Q303" s="4"/>
      <c r="R303" s="4"/>
      <c r="S303" s="4"/>
      <c r="T303" s="4"/>
      <c r="U303" s="4"/>
      <c r="V303" s="4"/>
      <c r="W303" s="4"/>
      <c r="X303" s="4"/>
      <c r="Y303" s="4"/>
      <c r="Z303" s="34"/>
      <c r="AA303" s="4"/>
      <c r="AB303" s="4"/>
      <c r="AC303" s="4"/>
      <c r="AD303" s="93"/>
      <c r="AE303" s="4"/>
      <c r="AF303" s="142"/>
      <c r="AG303" s="4"/>
      <c r="AH303" s="4"/>
      <c r="AI303" s="4"/>
      <c r="AJ303" s="4"/>
      <c r="AK303" s="4"/>
      <c r="AL303" s="4"/>
      <c r="AM303" s="4"/>
      <c r="AN303" s="4"/>
    </row>
    <row r="304" spans="1:40" s="3" customFormat="1">
      <c r="A304" s="5"/>
      <c r="B304" s="4"/>
      <c r="C304" s="4"/>
      <c r="D304" s="4"/>
      <c r="E304" s="4"/>
      <c r="F304" s="4"/>
      <c r="G304" s="34"/>
      <c r="H304" s="4"/>
      <c r="I304" s="4"/>
      <c r="J304" s="4"/>
      <c r="K304" s="4"/>
      <c r="L304" s="4"/>
      <c r="M304" s="4"/>
      <c r="N304" s="4"/>
      <c r="O304" s="88"/>
      <c r="P304" s="34"/>
      <c r="Q304" s="4"/>
      <c r="R304" s="4"/>
      <c r="S304" s="4"/>
      <c r="T304" s="4"/>
      <c r="U304" s="4"/>
      <c r="V304" s="4"/>
      <c r="W304" s="4"/>
      <c r="X304" s="4"/>
      <c r="Y304" s="4"/>
      <c r="Z304" s="34"/>
      <c r="AA304" s="4"/>
      <c r="AB304" s="4"/>
      <c r="AC304" s="4"/>
      <c r="AD304" s="93"/>
      <c r="AE304" s="4"/>
      <c r="AF304" s="142"/>
      <c r="AG304" s="4"/>
      <c r="AH304" s="4"/>
      <c r="AI304" s="4"/>
      <c r="AJ304" s="4"/>
      <c r="AK304" s="4"/>
      <c r="AL304" s="4"/>
      <c r="AM304" s="4"/>
      <c r="AN304" s="4"/>
    </row>
    <row r="305" spans="1:40" s="3" customFormat="1">
      <c r="A305" s="5"/>
      <c r="B305" s="4"/>
      <c r="C305" s="4"/>
      <c r="D305" s="4"/>
      <c r="E305" s="4"/>
      <c r="F305" s="4"/>
      <c r="G305" s="34"/>
      <c r="H305" s="4"/>
      <c r="I305" s="4"/>
      <c r="J305" s="4"/>
      <c r="K305" s="4"/>
      <c r="L305" s="4"/>
      <c r="M305" s="4"/>
      <c r="N305" s="4"/>
      <c r="O305" s="88"/>
      <c r="P305" s="34"/>
      <c r="Q305" s="4"/>
      <c r="R305" s="4"/>
      <c r="S305" s="4"/>
      <c r="T305" s="4"/>
      <c r="U305" s="4"/>
      <c r="V305" s="4"/>
      <c r="W305" s="4"/>
      <c r="X305" s="4"/>
      <c r="Y305" s="4"/>
      <c r="Z305" s="34"/>
      <c r="AA305" s="4"/>
      <c r="AB305" s="4"/>
      <c r="AC305" s="4"/>
      <c r="AD305" s="93"/>
      <c r="AE305" s="4"/>
      <c r="AF305" s="142"/>
      <c r="AG305" s="4"/>
      <c r="AH305" s="4"/>
      <c r="AI305" s="4"/>
      <c r="AJ305" s="4"/>
      <c r="AK305" s="4"/>
      <c r="AL305" s="4"/>
      <c r="AM305" s="4"/>
      <c r="AN305" s="4"/>
    </row>
    <row r="306" spans="1:40" s="3" customFormat="1">
      <c r="A306" s="5"/>
      <c r="B306" s="4"/>
      <c r="C306" s="4"/>
      <c r="D306" s="4"/>
      <c r="E306" s="4"/>
      <c r="F306" s="4"/>
      <c r="G306" s="34"/>
      <c r="H306" s="4"/>
      <c r="I306" s="4"/>
      <c r="J306" s="4"/>
      <c r="K306" s="4"/>
      <c r="L306" s="4"/>
      <c r="M306" s="4"/>
      <c r="N306" s="4"/>
      <c r="O306" s="88"/>
      <c r="P306" s="34"/>
      <c r="Q306" s="4"/>
      <c r="R306" s="4"/>
      <c r="S306" s="4"/>
      <c r="T306" s="4"/>
      <c r="U306" s="4"/>
      <c r="V306" s="4"/>
      <c r="W306" s="4"/>
      <c r="X306" s="4"/>
      <c r="Y306" s="4"/>
      <c r="Z306" s="34"/>
      <c r="AA306" s="4"/>
      <c r="AB306" s="4"/>
      <c r="AC306" s="4"/>
      <c r="AD306" s="93"/>
      <c r="AE306" s="4"/>
      <c r="AF306" s="142"/>
      <c r="AG306" s="4"/>
      <c r="AH306" s="4"/>
      <c r="AI306" s="4"/>
      <c r="AJ306" s="4"/>
      <c r="AK306" s="4"/>
      <c r="AL306" s="4"/>
      <c r="AM306" s="4"/>
      <c r="AN306" s="4"/>
    </row>
    <row r="307" spans="1:40" s="3" customFormat="1">
      <c r="A307" s="5"/>
      <c r="B307" s="4"/>
      <c r="C307" s="4"/>
      <c r="D307" s="4"/>
      <c r="E307" s="4"/>
      <c r="F307" s="4"/>
      <c r="G307" s="34"/>
      <c r="H307" s="4"/>
      <c r="I307" s="4"/>
      <c r="J307" s="4"/>
      <c r="K307" s="4"/>
      <c r="L307" s="4"/>
      <c r="M307" s="4"/>
      <c r="N307" s="4"/>
      <c r="O307" s="88"/>
      <c r="P307" s="34"/>
      <c r="Q307" s="4"/>
      <c r="R307" s="4"/>
      <c r="S307" s="4"/>
      <c r="T307" s="4"/>
      <c r="U307" s="4"/>
      <c r="V307" s="4"/>
      <c r="W307" s="4"/>
      <c r="X307" s="4"/>
      <c r="Y307" s="4"/>
      <c r="Z307" s="34"/>
      <c r="AA307" s="4"/>
      <c r="AB307" s="4"/>
      <c r="AC307" s="4"/>
      <c r="AD307" s="93"/>
      <c r="AE307" s="4"/>
      <c r="AF307" s="142"/>
      <c r="AG307" s="4"/>
      <c r="AH307" s="4"/>
      <c r="AI307" s="4"/>
      <c r="AJ307" s="4"/>
      <c r="AK307" s="4"/>
      <c r="AL307" s="4"/>
      <c r="AM307" s="4"/>
      <c r="AN307" s="4"/>
    </row>
    <row r="308" spans="1:40" s="3" customFormat="1">
      <c r="A308" s="5"/>
      <c r="B308" s="4"/>
      <c r="C308" s="4"/>
      <c r="D308" s="4"/>
      <c r="E308" s="4"/>
      <c r="F308" s="4"/>
      <c r="G308" s="34"/>
      <c r="H308" s="4"/>
      <c r="I308" s="4"/>
      <c r="J308" s="4"/>
      <c r="K308" s="4"/>
      <c r="L308" s="4"/>
      <c r="M308" s="4"/>
      <c r="N308" s="4"/>
      <c r="O308" s="88"/>
      <c r="P308" s="34"/>
      <c r="Q308" s="4"/>
      <c r="R308" s="4"/>
      <c r="S308" s="4"/>
      <c r="T308" s="4"/>
      <c r="U308" s="4"/>
      <c r="V308" s="4"/>
      <c r="W308" s="4"/>
      <c r="X308" s="4"/>
      <c r="Y308" s="4"/>
      <c r="Z308" s="34"/>
      <c r="AA308" s="4"/>
      <c r="AB308" s="4"/>
      <c r="AC308" s="4"/>
      <c r="AD308" s="93"/>
      <c r="AE308" s="4"/>
      <c r="AF308" s="142"/>
      <c r="AG308" s="4"/>
      <c r="AH308" s="4"/>
      <c r="AI308" s="4"/>
      <c r="AJ308" s="4"/>
      <c r="AK308" s="4"/>
      <c r="AL308" s="4"/>
      <c r="AM308" s="4"/>
      <c r="AN308" s="4"/>
    </row>
    <row r="309" spans="1:40" s="3" customFormat="1">
      <c r="A309" s="5"/>
      <c r="B309" s="4"/>
      <c r="C309" s="4"/>
      <c r="D309" s="4"/>
      <c r="E309" s="4"/>
      <c r="F309" s="4"/>
      <c r="G309" s="34"/>
      <c r="H309" s="4"/>
      <c r="I309" s="4"/>
      <c r="J309" s="4"/>
      <c r="K309" s="4"/>
      <c r="L309" s="4"/>
      <c r="M309" s="4"/>
      <c r="N309" s="4"/>
      <c r="O309" s="88"/>
      <c r="P309" s="34"/>
      <c r="Q309" s="4"/>
      <c r="R309" s="4"/>
      <c r="S309" s="4"/>
      <c r="T309" s="4"/>
      <c r="U309" s="4"/>
      <c r="V309" s="4"/>
      <c r="W309" s="4"/>
      <c r="X309" s="4"/>
      <c r="Y309" s="4"/>
      <c r="Z309" s="34"/>
      <c r="AA309" s="4"/>
      <c r="AB309" s="4"/>
      <c r="AC309" s="4"/>
      <c r="AD309" s="93"/>
      <c r="AE309" s="4"/>
      <c r="AF309" s="142"/>
      <c r="AG309" s="4"/>
      <c r="AH309" s="4"/>
      <c r="AI309" s="4"/>
      <c r="AJ309" s="4"/>
      <c r="AK309" s="4"/>
      <c r="AL309" s="4"/>
      <c r="AM309" s="4"/>
      <c r="AN309" s="4"/>
    </row>
    <row r="310" spans="1:40" s="3" customFormat="1">
      <c r="A310" s="5"/>
      <c r="B310" s="4"/>
      <c r="C310" s="4"/>
      <c r="D310" s="4"/>
      <c r="E310" s="4"/>
      <c r="F310" s="4"/>
      <c r="G310" s="34"/>
      <c r="H310" s="4"/>
      <c r="I310" s="4"/>
      <c r="J310" s="4"/>
      <c r="K310" s="4"/>
      <c r="L310" s="4"/>
      <c r="M310" s="4"/>
      <c r="N310" s="4"/>
      <c r="O310" s="88"/>
      <c r="P310" s="34"/>
      <c r="Q310" s="4"/>
      <c r="R310" s="4"/>
      <c r="S310" s="4"/>
      <c r="T310" s="4"/>
      <c r="U310" s="4"/>
      <c r="V310" s="4"/>
      <c r="W310" s="4"/>
      <c r="X310" s="4"/>
      <c r="Y310" s="4"/>
      <c r="Z310" s="34"/>
      <c r="AA310" s="4"/>
      <c r="AB310" s="4"/>
      <c r="AC310" s="4"/>
      <c r="AD310" s="93"/>
      <c r="AE310" s="4"/>
      <c r="AF310" s="142"/>
      <c r="AG310" s="4"/>
      <c r="AH310" s="4"/>
      <c r="AI310" s="4"/>
      <c r="AJ310" s="4"/>
      <c r="AK310" s="4"/>
      <c r="AL310" s="4"/>
      <c r="AM310" s="4"/>
      <c r="AN310" s="4"/>
    </row>
    <row r="311" spans="1:40" s="3" customFormat="1">
      <c r="A311" s="5"/>
      <c r="B311" s="4"/>
      <c r="C311" s="4"/>
      <c r="D311" s="4"/>
      <c r="E311" s="1"/>
      <c r="F311" s="4"/>
      <c r="G311" s="34"/>
      <c r="H311" s="4"/>
      <c r="I311" s="4"/>
      <c r="J311" s="4"/>
      <c r="K311" s="4"/>
      <c r="L311" s="4"/>
      <c r="M311" s="4"/>
      <c r="N311" s="4"/>
      <c r="O311" s="88"/>
      <c r="P311" s="34"/>
      <c r="Q311" s="4"/>
      <c r="R311" s="4"/>
      <c r="S311" s="4"/>
      <c r="T311" s="4"/>
      <c r="U311" s="4"/>
      <c r="V311" s="4"/>
      <c r="W311" s="4"/>
      <c r="X311" s="4"/>
      <c r="Y311" s="4"/>
      <c r="Z311" s="34"/>
      <c r="AA311" s="4"/>
      <c r="AB311" s="4"/>
      <c r="AC311" s="4"/>
      <c r="AD311" s="93"/>
      <c r="AE311" s="4"/>
      <c r="AF311" s="142"/>
      <c r="AG311" s="4"/>
      <c r="AH311" s="4"/>
      <c r="AI311" s="4"/>
      <c r="AJ311" s="4"/>
      <c r="AK311" s="4"/>
      <c r="AL311" s="4"/>
      <c r="AM311" s="4"/>
      <c r="AN311" s="4"/>
    </row>
    <row r="312" spans="1:40" s="3" customFormat="1">
      <c r="A312" s="5"/>
      <c r="B312" s="4"/>
      <c r="C312" s="4"/>
      <c r="D312" s="4"/>
      <c r="E312" s="1"/>
      <c r="F312" s="4"/>
      <c r="G312" s="31"/>
      <c r="H312" s="1"/>
      <c r="I312" s="1"/>
      <c r="J312" s="4"/>
      <c r="K312" s="4"/>
      <c r="L312" s="4"/>
      <c r="M312" s="4"/>
      <c r="N312" s="4"/>
      <c r="O312" s="88"/>
      <c r="P312" s="34"/>
      <c r="Q312" s="4"/>
      <c r="R312" s="4"/>
      <c r="S312" s="4"/>
      <c r="T312" s="4"/>
      <c r="U312" s="4"/>
      <c r="V312" s="4"/>
      <c r="W312" s="4"/>
      <c r="X312" s="4"/>
      <c r="Y312" s="4"/>
      <c r="Z312" s="34"/>
      <c r="AA312" s="4"/>
      <c r="AB312" s="4"/>
      <c r="AC312" s="4"/>
      <c r="AD312" s="93"/>
      <c r="AE312" s="4"/>
      <c r="AF312" s="142"/>
      <c r="AG312" s="4"/>
      <c r="AH312" s="4"/>
      <c r="AI312" s="4"/>
      <c r="AJ312" s="4"/>
      <c r="AK312" s="4"/>
      <c r="AL312" s="4"/>
      <c r="AM312" s="4"/>
      <c r="AN312" s="4"/>
    </row>
    <row r="313" spans="1:40" s="3" customFormat="1">
      <c r="A313" s="5"/>
      <c r="B313" s="1"/>
      <c r="C313" s="1"/>
      <c r="D313" s="1"/>
      <c r="E313" s="1"/>
      <c r="F313" s="1"/>
      <c r="G313" s="31"/>
      <c r="H313" s="1"/>
      <c r="I313" s="1"/>
      <c r="J313" s="1"/>
      <c r="K313" s="1"/>
      <c r="L313" s="1"/>
      <c r="M313" s="1"/>
      <c r="N313" s="1"/>
      <c r="O313" s="90"/>
      <c r="P313" s="34"/>
      <c r="Q313" s="4"/>
      <c r="R313" s="4"/>
      <c r="S313" s="4"/>
      <c r="T313" s="4"/>
      <c r="U313" s="4"/>
      <c r="V313" s="4"/>
      <c r="W313" s="4"/>
      <c r="X313" s="4"/>
      <c r="Y313" s="4"/>
      <c r="Z313" s="34"/>
      <c r="AA313" s="4"/>
      <c r="AB313" s="4"/>
      <c r="AC313" s="4"/>
      <c r="AD313" s="93"/>
      <c r="AE313" s="4"/>
      <c r="AF313" s="142"/>
      <c r="AG313" s="4"/>
      <c r="AH313" s="4"/>
      <c r="AI313" s="4"/>
      <c r="AJ313" s="4"/>
      <c r="AK313" s="4"/>
      <c r="AL313" s="4"/>
      <c r="AM313" s="4"/>
      <c r="AN313" s="4"/>
    </row>
    <row r="314" spans="1:40" s="3" customFormat="1">
      <c r="A314" s="5"/>
      <c r="B314" s="1"/>
      <c r="C314" s="1"/>
      <c r="D314" s="1"/>
      <c r="E314" s="1"/>
      <c r="F314" s="1"/>
      <c r="G314" s="31"/>
      <c r="H314" s="1"/>
      <c r="I314" s="1"/>
      <c r="J314" s="1"/>
      <c r="K314" s="1"/>
      <c r="L314" s="1"/>
      <c r="M314" s="1"/>
      <c r="N314" s="1"/>
      <c r="O314" s="90"/>
      <c r="P314" s="34"/>
      <c r="Q314" s="4"/>
      <c r="R314" s="4"/>
      <c r="S314" s="4"/>
      <c r="T314" s="4"/>
      <c r="U314" s="4"/>
      <c r="V314" s="4"/>
      <c r="W314" s="4"/>
      <c r="X314" s="4"/>
      <c r="Y314" s="4"/>
      <c r="Z314" s="34"/>
      <c r="AA314" s="4"/>
      <c r="AB314" s="4"/>
      <c r="AC314" s="4"/>
      <c r="AD314" s="93"/>
      <c r="AE314" s="4"/>
      <c r="AF314" s="142"/>
      <c r="AG314" s="4"/>
      <c r="AH314" s="4"/>
      <c r="AI314" s="4"/>
      <c r="AJ314" s="4"/>
      <c r="AK314" s="4"/>
      <c r="AL314" s="4"/>
      <c r="AM314" s="4"/>
      <c r="AN314" s="4"/>
    </row>
    <row r="315" spans="1:40" s="3" customFormat="1">
      <c r="A315" s="1"/>
      <c r="B315" s="1"/>
      <c r="C315" s="1"/>
      <c r="D315" s="1"/>
      <c r="E315" s="1"/>
      <c r="F315" s="1"/>
      <c r="G315" s="31"/>
      <c r="H315" s="1"/>
      <c r="I315" s="1"/>
      <c r="J315" s="1"/>
      <c r="K315" s="1"/>
      <c r="L315" s="1"/>
      <c r="M315" s="1"/>
      <c r="N315" s="1"/>
      <c r="O315" s="90"/>
      <c r="P315" s="34"/>
      <c r="Q315" s="4"/>
      <c r="R315" s="4"/>
      <c r="S315" s="4"/>
      <c r="T315" s="4"/>
      <c r="U315" s="4"/>
      <c r="V315" s="4"/>
      <c r="W315" s="4"/>
      <c r="X315" s="4"/>
      <c r="Y315" s="4"/>
      <c r="Z315" s="34"/>
      <c r="AA315" s="4"/>
      <c r="AB315" s="4"/>
      <c r="AC315" s="4"/>
      <c r="AD315" s="93"/>
      <c r="AE315" s="4"/>
      <c r="AF315" s="142"/>
      <c r="AG315" s="4"/>
      <c r="AH315" s="4"/>
      <c r="AI315" s="4"/>
      <c r="AJ315" s="4"/>
      <c r="AK315" s="4"/>
      <c r="AL315" s="4"/>
      <c r="AM315" s="4"/>
      <c r="AN315" s="4"/>
    </row>
  </sheetData>
  <sortState ref="A4:AY197">
    <sortCondition ref="A4:A197"/>
  </sortState>
  <dataConsolidate/>
  <mergeCells count="1">
    <mergeCell ref="B1:D1"/>
  </mergeCells>
  <phoneticPr fontId="0" type="noConversion"/>
  <pageMargins left="0.75" right="0.75" top="1" bottom="1" header="0.5" footer="0.5"/>
  <pageSetup orientation="landscape" r:id="rId1"/>
  <headerFooter alignWithMargins="0"/>
  <legacyDrawing r:id="rId2"/>
  <oleObjects>
    <oleObject progId="Word.Picture.8" shapeId="1027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D3:AI198"/>
  <sheetViews>
    <sheetView workbookViewId="0">
      <selection activeCell="D3" sqref="D3:AI197"/>
    </sheetView>
  </sheetViews>
  <sheetFormatPr defaultRowHeight="12.5"/>
  <cols>
    <col min="4" max="4" width="22.81640625" style="167" customWidth="1"/>
    <col min="5" max="17" width="0" style="167" hidden="1" customWidth="1"/>
    <col min="18" max="19" width="8.7265625" style="167"/>
    <col min="20" max="28" width="0" style="167" hidden="1" customWidth="1"/>
    <col min="29" max="29" width="8.7265625" style="167"/>
    <col min="30" max="34" width="0" style="167" hidden="1" customWidth="1"/>
    <col min="35" max="35" width="8.7265625" style="167"/>
  </cols>
  <sheetData>
    <row r="3" spans="4:35" ht="18.5" customHeight="1"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</row>
    <row r="4" spans="4:35" ht="14">
      <c r="D4" s="163" t="s">
        <v>2</v>
      </c>
      <c r="E4" s="191">
        <v>6</v>
      </c>
      <c r="F4" s="192">
        <v>6</v>
      </c>
      <c r="G4" s="192" t="s">
        <v>4</v>
      </c>
      <c r="H4" s="131">
        <f t="shared" ref="H4:H35" si="0">1+(-2+E4+F4)/6</f>
        <v>2.666666666666667</v>
      </c>
      <c r="I4" s="131">
        <v>24</v>
      </c>
      <c r="J4" s="131">
        <f t="shared" ref="J4:J39" si="1">1.153*I4/15-1</f>
        <v>0.8448</v>
      </c>
      <c r="K4" s="131">
        <f>(J4+L4)/2</f>
        <v>0.9224</v>
      </c>
      <c r="L4" s="131">
        <v>1</v>
      </c>
      <c r="M4" s="131">
        <f t="shared" ref="M4:M35" si="2">1-AH4/10</f>
        <v>0.752</v>
      </c>
      <c r="N4" s="131">
        <f t="shared" ref="N4:N35" si="3">4*M4/3</f>
        <v>1.0026666666666666</v>
      </c>
      <c r="O4" s="131">
        <v>0.09</v>
      </c>
      <c r="P4" s="131">
        <v>0.2</v>
      </c>
      <c r="Q4" s="131">
        <f t="shared" ref="Q4:Q35" si="4">(O4/16.75+P4)/2</f>
        <v>0.10268656716417911</v>
      </c>
      <c r="R4" s="193">
        <v>258.16000000000003</v>
      </c>
      <c r="S4" s="193">
        <f t="shared" ref="S4:S35" si="5">2.63/R4</f>
        <v>1.0187480632166098E-2</v>
      </c>
      <c r="T4" s="193">
        <f t="shared" ref="T4:T35" si="6">1-(H4-1)/3</f>
        <v>0.44444444444444431</v>
      </c>
      <c r="U4" s="193">
        <v>29.4</v>
      </c>
      <c r="V4" s="193">
        <v>0.65100000000000002</v>
      </c>
      <c r="W4" s="193">
        <f>(U4/100+V4)/2</f>
        <v>0.47250000000000003</v>
      </c>
      <c r="X4" s="193" t="s">
        <v>223</v>
      </c>
      <c r="Y4" s="193">
        <v>0.28999999999999998</v>
      </c>
      <c r="Z4" s="193">
        <f>(Y4+N4)/2</f>
        <v>0.64633333333333332</v>
      </c>
      <c r="AA4" s="193" t="s">
        <v>223</v>
      </c>
      <c r="AB4" s="193">
        <v>0.3</v>
      </c>
      <c r="AC4" s="193">
        <v>2.13</v>
      </c>
      <c r="AD4" s="193">
        <v>36</v>
      </c>
      <c r="AE4" s="193">
        <v>35</v>
      </c>
      <c r="AF4" s="193">
        <v>29.8</v>
      </c>
      <c r="AG4" s="193"/>
      <c r="AH4" s="193">
        <v>2.48</v>
      </c>
      <c r="AI4" s="193">
        <f t="shared" ref="AI4:AI35" si="7">AC4/R4</f>
        <v>8.2506972420204518E-3</v>
      </c>
    </row>
    <row r="5" spans="4:35" ht="14">
      <c r="D5" s="164" t="s">
        <v>5</v>
      </c>
      <c r="E5" s="181">
        <v>3</v>
      </c>
      <c r="F5" s="181">
        <v>3</v>
      </c>
      <c r="G5" s="182" t="s">
        <v>3</v>
      </c>
      <c r="H5" s="131">
        <f t="shared" si="0"/>
        <v>1.6666666666666665</v>
      </c>
      <c r="I5" s="131">
        <v>29</v>
      </c>
      <c r="J5" s="131">
        <f t="shared" si="1"/>
        <v>1.229133333333333</v>
      </c>
      <c r="K5" s="131">
        <f>(J5+L5)/2</f>
        <v>0.98956666666666648</v>
      </c>
      <c r="L5" s="131">
        <v>0.75</v>
      </c>
      <c r="M5" s="131">
        <f t="shared" si="2"/>
        <v>0.41399999999999992</v>
      </c>
      <c r="N5" s="131">
        <f t="shared" si="3"/>
        <v>0.55199999999999994</v>
      </c>
      <c r="O5" s="131">
        <v>0.05</v>
      </c>
      <c r="P5" s="131">
        <v>0.2</v>
      </c>
      <c r="Q5" s="131">
        <f t="shared" si="4"/>
        <v>0.10149253731343284</v>
      </c>
      <c r="R5" s="188">
        <f t="shared" ref="R5:R36" si="8">EXP(H5*(K5+N5+Q5))</f>
        <v>15.462720634670621</v>
      </c>
      <c r="S5" s="188">
        <f t="shared" si="5"/>
        <v>0.17008649785103117</v>
      </c>
      <c r="T5" s="188">
        <f t="shared" si="6"/>
        <v>0.77777777777777779</v>
      </c>
      <c r="U5" s="188">
        <v>34.5</v>
      </c>
      <c r="V5" s="188">
        <f>1-0.719</f>
        <v>0.28100000000000003</v>
      </c>
      <c r="W5" s="188">
        <f>(U5/100+V5)/2</f>
        <v>0.313</v>
      </c>
      <c r="X5" s="188">
        <v>0.59399999999999997</v>
      </c>
      <c r="Y5" s="188">
        <v>0.75</v>
      </c>
      <c r="Z5" s="188">
        <f>(Y5+X5+M5)/3</f>
        <v>0.58599999999999997</v>
      </c>
      <c r="AA5" s="188">
        <v>0</v>
      </c>
      <c r="AB5" s="188">
        <f>AA5</f>
        <v>0</v>
      </c>
      <c r="AC5" s="188">
        <f t="shared" ref="AC5:AC36" si="9">EXP(T5*(AB5+Z5+W5))</f>
        <v>2.0121870643048236</v>
      </c>
      <c r="AD5" s="188">
        <v>12.5</v>
      </c>
      <c r="AE5" s="188">
        <v>13.4</v>
      </c>
      <c r="AF5" s="188">
        <v>2.8</v>
      </c>
      <c r="AG5" s="188"/>
      <c r="AH5" s="188">
        <v>5.86</v>
      </c>
      <c r="AI5" s="188">
        <f t="shared" si="7"/>
        <v>0.13013150220104758</v>
      </c>
    </row>
    <row r="6" spans="4:35" ht="14">
      <c r="D6" s="164" t="s">
        <v>6</v>
      </c>
      <c r="E6" s="181">
        <v>6</v>
      </c>
      <c r="F6" s="181">
        <v>5</v>
      </c>
      <c r="G6" s="182" t="s">
        <v>4</v>
      </c>
      <c r="H6" s="131">
        <f t="shared" si="0"/>
        <v>2.5</v>
      </c>
      <c r="I6" s="131">
        <v>26.8</v>
      </c>
      <c r="J6" s="131">
        <f t="shared" si="1"/>
        <v>1.0600266666666669</v>
      </c>
      <c r="K6" s="131">
        <f>(J6+L6)/2</f>
        <v>0.90501333333333345</v>
      </c>
      <c r="L6" s="131">
        <v>0.75</v>
      </c>
      <c r="M6" s="131">
        <f t="shared" si="2"/>
        <v>0.65600000000000003</v>
      </c>
      <c r="N6" s="131">
        <f t="shared" si="3"/>
        <v>0.8746666666666667</v>
      </c>
      <c r="O6" s="131">
        <v>0.53</v>
      </c>
      <c r="P6" s="131">
        <v>0.4</v>
      </c>
      <c r="Q6" s="131">
        <f t="shared" si="4"/>
        <v>0.21582089552238806</v>
      </c>
      <c r="R6" s="188">
        <f t="shared" si="8"/>
        <v>146.7531962641543</v>
      </c>
      <c r="S6" s="188">
        <f t="shared" si="5"/>
        <v>1.7921245103691138E-2</v>
      </c>
      <c r="T6" s="188">
        <f t="shared" si="6"/>
        <v>0.5</v>
      </c>
      <c r="U6" s="188">
        <v>35.299999999999997</v>
      </c>
      <c r="V6" s="188">
        <f>1-0.677</f>
        <v>0.32299999999999995</v>
      </c>
      <c r="W6" s="188">
        <f>(U6/100+V6)/2</f>
        <v>0.33799999999999997</v>
      </c>
      <c r="X6" s="188">
        <v>6.6000000000000003E-2</v>
      </c>
      <c r="Y6" s="188">
        <f>1-0.29</f>
        <v>0.71</v>
      </c>
      <c r="Z6" s="188">
        <f>(Y6+X6+M6)/3</f>
        <v>0.47733333333333333</v>
      </c>
      <c r="AA6" s="188">
        <f>35/113</f>
        <v>0.30973451327433627</v>
      </c>
      <c r="AB6" s="188">
        <f>AA6</f>
        <v>0.30973451327433627</v>
      </c>
      <c r="AC6" s="188">
        <f t="shared" si="9"/>
        <v>1.7551141952225349</v>
      </c>
      <c r="AD6" s="188">
        <v>23</v>
      </c>
      <c r="AE6" s="188">
        <v>9.6999999999999993</v>
      </c>
      <c r="AF6" s="188">
        <v>37</v>
      </c>
      <c r="AG6" s="188"/>
      <c r="AH6" s="188">
        <v>3.44</v>
      </c>
      <c r="AI6" s="188">
        <f t="shared" si="7"/>
        <v>1.1959631816559188E-2</v>
      </c>
    </row>
    <row r="7" spans="4:35" ht="14">
      <c r="D7" s="164" t="s">
        <v>7</v>
      </c>
      <c r="E7" s="181">
        <v>1</v>
      </c>
      <c r="F7" s="181">
        <v>1</v>
      </c>
      <c r="G7" s="182" t="s">
        <v>8</v>
      </c>
      <c r="H7" s="131">
        <f t="shared" si="0"/>
        <v>1</v>
      </c>
      <c r="I7" s="131"/>
      <c r="J7" s="131">
        <f t="shared" si="1"/>
        <v>-1</v>
      </c>
      <c r="K7" s="131">
        <v>0.75</v>
      </c>
      <c r="L7" s="131">
        <v>0.75</v>
      </c>
      <c r="M7" s="131">
        <f t="shared" si="2"/>
        <v>0.19000000000000006</v>
      </c>
      <c r="N7" s="131">
        <f t="shared" si="3"/>
        <v>0.25333333333333341</v>
      </c>
      <c r="O7" s="131">
        <v>0</v>
      </c>
      <c r="P7" s="131">
        <v>0.2</v>
      </c>
      <c r="Q7" s="131">
        <f t="shared" si="4"/>
        <v>0.1</v>
      </c>
      <c r="R7" s="188">
        <f t="shared" si="8"/>
        <v>3.0141966190638643</v>
      </c>
      <c r="S7" s="188">
        <f t="shared" si="5"/>
        <v>0.87253763850906763</v>
      </c>
      <c r="T7" s="188">
        <f t="shared" si="6"/>
        <v>1</v>
      </c>
      <c r="U7" s="188"/>
      <c r="V7" s="188">
        <f>1-0.824</f>
        <v>0.17600000000000005</v>
      </c>
      <c r="W7" s="188">
        <f>V7</f>
        <v>0.17600000000000005</v>
      </c>
      <c r="X7" s="188"/>
      <c r="Y7" s="188">
        <v>1.18</v>
      </c>
      <c r="Z7" s="188">
        <f>(Y7+N7)/2</f>
        <v>0.71666666666666667</v>
      </c>
      <c r="AA7" s="188" t="s">
        <v>223</v>
      </c>
      <c r="AB7" s="188">
        <v>0.2</v>
      </c>
      <c r="AC7" s="188">
        <f t="shared" si="9"/>
        <v>2.9822160546930476</v>
      </c>
      <c r="AD7" s="188" t="s">
        <v>223</v>
      </c>
      <c r="AE7" s="188">
        <v>2.9</v>
      </c>
      <c r="AF7" s="188">
        <v>7.8E-2</v>
      </c>
      <c r="AG7" s="188"/>
      <c r="AH7" s="188">
        <v>8.1</v>
      </c>
      <c r="AI7" s="188">
        <f t="shared" si="7"/>
        <v>0.98939002048885949</v>
      </c>
    </row>
    <row r="8" spans="4:35" ht="14">
      <c r="D8" s="164" t="s">
        <v>9</v>
      </c>
      <c r="E8" s="181">
        <v>6</v>
      </c>
      <c r="F8" s="181">
        <v>5</v>
      </c>
      <c r="G8" s="182" t="s">
        <v>4</v>
      </c>
      <c r="H8" s="131">
        <f t="shared" si="0"/>
        <v>2.5</v>
      </c>
      <c r="I8" s="131">
        <v>44.7</v>
      </c>
      <c r="J8" s="131">
        <f t="shared" si="1"/>
        <v>2.4359400000000004</v>
      </c>
      <c r="K8" s="131">
        <f>(J8+L8)/2</f>
        <v>1.5529700000000002</v>
      </c>
      <c r="L8" s="131">
        <v>0.67</v>
      </c>
      <c r="M8" s="131">
        <f t="shared" si="2"/>
        <v>0.66800000000000004</v>
      </c>
      <c r="N8" s="131">
        <f t="shared" si="3"/>
        <v>0.89066666666666672</v>
      </c>
      <c r="O8" s="131">
        <v>0.14000000000000001</v>
      </c>
      <c r="P8" s="131">
        <v>0.2</v>
      </c>
      <c r="Q8" s="131">
        <f t="shared" si="4"/>
        <v>0.10417910447761194</v>
      </c>
      <c r="R8" s="188">
        <f t="shared" si="8"/>
        <v>583.78889006518534</v>
      </c>
      <c r="S8" s="188">
        <f t="shared" si="5"/>
        <v>4.5050531874738769E-3</v>
      </c>
      <c r="T8" s="188">
        <f t="shared" si="6"/>
        <v>0.5</v>
      </c>
      <c r="U8" s="188"/>
      <c r="V8" s="188">
        <v>0.59699999999999998</v>
      </c>
      <c r="W8" s="188">
        <f>V8</f>
        <v>0.59699999999999998</v>
      </c>
      <c r="X8" s="188">
        <v>0.245</v>
      </c>
      <c r="Y8" s="188">
        <v>0.63</v>
      </c>
      <c r="Z8" s="188">
        <f>(Y8+X8+M8)/3</f>
        <v>0.51433333333333342</v>
      </c>
      <c r="AA8" s="188" t="s">
        <v>225</v>
      </c>
      <c r="AB8" s="188">
        <v>0.1</v>
      </c>
      <c r="AC8" s="188">
        <f t="shared" si="9"/>
        <v>1.8324734507270797</v>
      </c>
      <c r="AD8" s="188">
        <v>40.5</v>
      </c>
      <c r="AE8" s="188" t="s">
        <v>223</v>
      </c>
      <c r="AF8" s="188">
        <v>7.8E-2</v>
      </c>
      <c r="AG8" s="188"/>
      <c r="AH8" s="188">
        <v>3.32</v>
      </c>
      <c r="AI8" s="188">
        <f t="shared" si="7"/>
        <v>3.138931695878055E-3</v>
      </c>
    </row>
    <row r="9" spans="4:35" ht="14">
      <c r="D9" s="164" t="s">
        <v>193</v>
      </c>
      <c r="E9" s="181">
        <v>3</v>
      </c>
      <c r="F9" s="181">
        <v>2</v>
      </c>
      <c r="G9" s="182" t="s">
        <v>8</v>
      </c>
      <c r="H9" s="131">
        <f t="shared" si="0"/>
        <v>1.5</v>
      </c>
      <c r="I9" s="131"/>
      <c r="J9" s="131">
        <f t="shared" si="1"/>
        <v>-1</v>
      </c>
      <c r="K9" s="131">
        <v>0.75</v>
      </c>
      <c r="L9" s="131">
        <v>0.75</v>
      </c>
      <c r="M9" s="131">
        <f t="shared" si="2"/>
        <v>0.66800000000000004</v>
      </c>
      <c r="N9" s="131">
        <f t="shared" si="3"/>
        <v>0.89066666666666672</v>
      </c>
      <c r="O9" s="131">
        <v>0.03</v>
      </c>
      <c r="P9" s="131">
        <v>0.2</v>
      </c>
      <c r="Q9" s="131">
        <f t="shared" si="4"/>
        <v>0.10089552238805971</v>
      </c>
      <c r="R9" s="188">
        <f t="shared" si="8"/>
        <v>13.630954649648251</v>
      </c>
      <c r="S9" s="188">
        <f t="shared" si="5"/>
        <v>0.19294319932814591</v>
      </c>
      <c r="T9" s="188">
        <f t="shared" si="6"/>
        <v>0.83333333333333337</v>
      </c>
      <c r="U9" s="188"/>
      <c r="V9" s="189">
        <v>0.43</v>
      </c>
      <c r="W9" s="188">
        <f>V9</f>
        <v>0.43</v>
      </c>
      <c r="X9" s="188">
        <v>1.3</v>
      </c>
      <c r="Y9" s="188">
        <v>0.8</v>
      </c>
      <c r="Z9" s="188">
        <f>(Y9+X9+M9)/3</f>
        <v>0.92266666666666675</v>
      </c>
      <c r="AA9" s="188" t="s">
        <v>225</v>
      </c>
      <c r="AB9" s="188">
        <v>0.1</v>
      </c>
      <c r="AC9" s="188">
        <f t="shared" si="9"/>
        <v>3.3553482171871303</v>
      </c>
      <c r="AD9" s="188">
        <v>23</v>
      </c>
      <c r="AE9" s="188">
        <v>11</v>
      </c>
      <c r="AF9" s="188">
        <v>21</v>
      </c>
      <c r="AG9" s="188"/>
      <c r="AH9" s="188">
        <v>3.32</v>
      </c>
      <c r="AI9" s="188">
        <f t="shared" si="7"/>
        <v>0.24615650946162568</v>
      </c>
    </row>
    <row r="10" spans="4:35" ht="14">
      <c r="D10" s="164" t="s">
        <v>10</v>
      </c>
      <c r="E10" s="181">
        <v>2</v>
      </c>
      <c r="F10" s="181">
        <v>2</v>
      </c>
      <c r="G10" s="182" t="s">
        <v>8</v>
      </c>
      <c r="H10" s="131">
        <f t="shared" si="0"/>
        <v>1.3333333333333333</v>
      </c>
      <c r="I10" s="131">
        <v>29.5</v>
      </c>
      <c r="J10" s="131">
        <f t="shared" si="1"/>
        <v>1.2675666666666667</v>
      </c>
      <c r="K10" s="131">
        <f t="shared" ref="K10:K15" si="10">(J10+L10)/2</f>
        <v>1.0087833333333334</v>
      </c>
      <c r="L10" s="131">
        <v>0.75</v>
      </c>
      <c r="M10" s="131">
        <f t="shared" si="2"/>
        <v>0.31600000000000006</v>
      </c>
      <c r="N10" s="131">
        <f t="shared" si="3"/>
        <v>0.42133333333333339</v>
      </c>
      <c r="O10" s="131">
        <v>0.87</v>
      </c>
      <c r="P10" s="131">
        <v>0.6</v>
      </c>
      <c r="Q10" s="131">
        <f t="shared" si="4"/>
        <v>0.32597014925373136</v>
      </c>
      <c r="R10" s="188">
        <f t="shared" si="8"/>
        <v>10.396290791774458</v>
      </c>
      <c r="S10" s="188">
        <f t="shared" si="5"/>
        <v>0.25297484003437604</v>
      </c>
      <c r="T10" s="188">
        <f t="shared" si="6"/>
        <v>0.88888888888888895</v>
      </c>
      <c r="U10" s="188">
        <v>48.5</v>
      </c>
      <c r="V10" s="188">
        <v>0.22500000000000001</v>
      </c>
      <c r="W10" s="188">
        <f>(U10/100+V10)/2</f>
        <v>0.35499999999999998</v>
      </c>
      <c r="X10" s="188">
        <v>0.43</v>
      </c>
      <c r="Y10" s="188">
        <v>0.2</v>
      </c>
      <c r="Z10" s="188">
        <f>(Y10+X10+M10)/3</f>
        <v>0.31533333333333335</v>
      </c>
      <c r="AA10" s="188">
        <f>0.5*(0.27338+0.1)</f>
        <v>0.18669000000000002</v>
      </c>
      <c r="AB10" s="188">
        <v>0.187</v>
      </c>
      <c r="AC10" s="188">
        <f t="shared" si="9"/>
        <v>2.1427157661507343</v>
      </c>
      <c r="AD10" s="188">
        <v>30</v>
      </c>
      <c r="AE10" s="188">
        <v>7.2</v>
      </c>
      <c r="AF10" s="188">
        <v>40</v>
      </c>
      <c r="AG10" s="188"/>
      <c r="AH10" s="188">
        <v>6.84</v>
      </c>
      <c r="AI10" s="188">
        <f t="shared" si="7"/>
        <v>0.20610387003084316</v>
      </c>
    </row>
    <row r="11" spans="4:35" ht="14">
      <c r="D11" s="164" t="s">
        <v>11</v>
      </c>
      <c r="E11" s="181">
        <v>6</v>
      </c>
      <c r="F11" s="181">
        <v>4</v>
      </c>
      <c r="G11" s="182" t="s">
        <v>3</v>
      </c>
      <c r="H11" s="131">
        <f t="shared" si="0"/>
        <v>2.333333333333333</v>
      </c>
      <c r="I11" s="131">
        <v>25.4</v>
      </c>
      <c r="J11" s="131">
        <f t="shared" si="1"/>
        <v>0.95241333333333311</v>
      </c>
      <c r="K11" s="131">
        <f t="shared" si="10"/>
        <v>0.85120666666666656</v>
      </c>
      <c r="L11" s="131">
        <v>0.75</v>
      </c>
      <c r="M11" s="131">
        <f t="shared" si="2"/>
        <v>0.59099999999999997</v>
      </c>
      <c r="N11" s="131">
        <f t="shared" si="3"/>
        <v>0.78799999999999992</v>
      </c>
      <c r="O11" s="131">
        <v>7.0000000000000007E-2</v>
      </c>
      <c r="P11" s="131">
        <v>0.2</v>
      </c>
      <c r="Q11" s="131">
        <f t="shared" si="4"/>
        <v>0.10208955223880598</v>
      </c>
      <c r="R11" s="188">
        <f t="shared" si="8"/>
        <v>58.149920440082823</v>
      </c>
      <c r="S11" s="188">
        <f t="shared" si="5"/>
        <v>4.5227920865513985E-2</v>
      </c>
      <c r="T11" s="188">
        <f t="shared" si="6"/>
        <v>0.55555555555555558</v>
      </c>
      <c r="U11" s="188">
        <v>30.9</v>
      </c>
      <c r="V11" s="188">
        <v>0.30499999999999999</v>
      </c>
      <c r="W11" s="188">
        <f>(U11/100+V11)/2</f>
        <v>0.307</v>
      </c>
      <c r="X11" s="188"/>
      <c r="Y11" s="188">
        <v>0.54</v>
      </c>
      <c r="Z11" s="188">
        <f>(Y11+N11)/2</f>
        <v>0.66399999999999992</v>
      </c>
      <c r="AA11" s="188">
        <f>47/119</f>
        <v>0.3949579831932773</v>
      </c>
      <c r="AB11" s="188">
        <f>AA11</f>
        <v>0.3949579831932773</v>
      </c>
      <c r="AC11" s="188">
        <f t="shared" si="9"/>
        <v>2.1358518203975017</v>
      </c>
      <c r="AD11" s="188">
        <v>34.1</v>
      </c>
      <c r="AE11" s="188">
        <v>5.9</v>
      </c>
      <c r="AF11" s="188">
        <v>3.27</v>
      </c>
      <c r="AG11" s="188"/>
      <c r="AH11" s="188">
        <v>4.09</v>
      </c>
      <c r="AI11" s="188">
        <f t="shared" si="7"/>
        <v>3.6730090157187145E-2</v>
      </c>
    </row>
    <row r="12" spans="4:35" ht="14">
      <c r="D12" s="164" t="s">
        <v>12</v>
      </c>
      <c r="E12" s="181">
        <v>1</v>
      </c>
      <c r="F12" s="181">
        <v>1</v>
      </c>
      <c r="G12" s="182" t="s">
        <v>8</v>
      </c>
      <c r="H12" s="131">
        <f t="shared" si="0"/>
        <v>1</v>
      </c>
      <c r="I12" s="131">
        <v>25.4</v>
      </c>
      <c r="J12" s="131">
        <f t="shared" si="1"/>
        <v>0.95241333333333311</v>
      </c>
      <c r="K12" s="131">
        <f t="shared" si="10"/>
        <v>0.85120666666666656</v>
      </c>
      <c r="L12" s="131">
        <v>0.75</v>
      </c>
      <c r="M12" s="131">
        <f t="shared" si="2"/>
        <v>7.7999999999999958E-2</v>
      </c>
      <c r="N12" s="131">
        <f t="shared" si="3"/>
        <v>0.10399999999999994</v>
      </c>
      <c r="O12" s="131">
        <v>1.31</v>
      </c>
      <c r="P12" s="131">
        <v>0.6</v>
      </c>
      <c r="Q12" s="131">
        <f t="shared" si="4"/>
        <v>0.33910447761194029</v>
      </c>
      <c r="R12" s="188">
        <f t="shared" si="8"/>
        <v>3.6484818307161606</v>
      </c>
      <c r="S12" s="188">
        <f t="shared" si="5"/>
        <v>0.7208477723140414</v>
      </c>
      <c r="T12" s="188">
        <f t="shared" si="6"/>
        <v>1</v>
      </c>
      <c r="U12" s="188">
        <v>30.5</v>
      </c>
      <c r="V12" s="188">
        <f>1-0.937</f>
        <v>6.2999999999999945E-2</v>
      </c>
      <c r="W12" s="188">
        <f>(U12/100+V12)/2</f>
        <v>0.18399999999999997</v>
      </c>
      <c r="X12" s="188">
        <v>0.30299999999999999</v>
      </c>
      <c r="Y12" s="188">
        <v>0.82</v>
      </c>
      <c r="Z12" s="188">
        <f>(Y12+X12+M12)/3</f>
        <v>0.40033333333333337</v>
      </c>
      <c r="AA12" s="188">
        <f>22/112</f>
        <v>0.19642857142857142</v>
      </c>
      <c r="AB12" s="188">
        <f>AA12</f>
        <v>0.19642857142857142</v>
      </c>
      <c r="AC12" s="188">
        <f t="shared" si="9"/>
        <v>2.1831349729371716</v>
      </c>
      <c r="AD12" s="188" t="s">
        <v>223</v>
      </c>
      <c r="AE12" s="188">
        <v>5</v>
      </c>
      <c r="AF12" s="188">
        <v>23</v>
      </c>
      <c r="AG12" s="188"/>
      <c r="AH12" s="188">
        <v>9.2200000000000006</v>
      </c>
      <c r="AI12" s="188">
        <f t="shared" si="7"/>
        <v>0.59836805395537462</v>
      </c>
    </row>
    <row r="13" spans="4:35" ht="14">
      <c r="D13" s="164" t="s">
        <v>13</v>
      </c>
      <c r="E13" s="181">
        <v>1</v>
      </c>
      <c r="F13" s="181">
        <v>1</v>
      </c>
      <c r="G13" s="182" t="s">
        <v>8</v>
      </c>
      <c r="H13" s="131">
        <f t="shared" si="0"/>
        <v>1</v>
      </c>
      <c r="I13" s="131">
        <v>22</v>
      </c>
      <c r="J13" s="131">
        <f t="shared" si="1"/>
        <v>0.69106666666666672</v>
      </c>
      <c r="K13" s="131">
        <f t="shared" si="10"/>
        <v>0.72053333333333336</v>
      </c>
      <c r="L13" s="131">
        <v>0.75</v>
      </c>
      <c r="M13" s="131">
        <f t="shared" si="2"/>
        <v>0.15100000000000002</v>
      </c>
      <c r="N13" s="131">
        <f t="shared" si="3"/>
        <v>0.20133333333333336</v>
      </c>
      <c r="O13" s="131">
        <v>0.87</v>
      </c>
      <c r="P13" s="131">
        <v>0.4</v>
      </c>
      <c r="Q13" s="131">
        <f t="shared" si="4"/>
        <v>0.22597014925373135</v>
      </c>
      <c r="R13" s="188">
        <f t="shared" si="8"/>
        <v>3.1513685409113048</v>
      </c>
      <c r="S13" s="188">
        <f t="shared" si="5"/>
        <v>0.83455805497108349</v>
      </c>
      <c r="T13" s="188">
        <f t="shared" si="6"/>
        <v>1</v>
      </c>
      <c r="U13" s="188">
        <v>30.5</v>
      </c>
      <c r="V13" s="188">
        <f>1-0.851</f>
        <v>0.14900000000000002</v>
      </c>
      <c r="W13" s="188">
        <f>(U13/100+V13)/2</f>
        <v>0.22700000000000001</v>
      </c>
      <c r="X13" s="188">
        <v>0.72099999999999997</v>
      </c>
      <c r="Y13" s="188">
        <v>0.67</v>
      </c>
      <c r="Z13" s="188">
        <f>(Y13+X13+M13)/3</f>
        <v>0.51400000000000001</v>
      </c>
      <c r="AA13" s="188">
        <f>-3/108</f>
        <v>-2.7777777777777776E-2</v>
      </c>
      <c r="AB13" s="188">
        <f>AA13</f>
        <v>-2.7777777777777776E-2</v>
      </c>
      <c r="AC13" s="188">
        <f t="shared" si="9"/>
        <v>2.0405558010074905</v>
      </c>
      <c r="AD13" s="188">
        <v>6</v>
      </c>
      <c r="AE13" s="188">
        <v>5.4</v>
      </c>
      <c r="AF13" s="188">
        <v>8.4499999999999993</v>
      </c>
      <c r="AG13" s="188"/>
      <c r="AH13" s="188">
        <v>8.49</v>
      </c>
      <c r="AI13" s="188">
        <f t="shared" si="7"/>
        <v>0.64751417503755615</v>
      </c>
    </row>
    <row r="14" spans="4:35" ht="14">
      <c r="D14" s="164" t="s">
        <v>14</v>
      </c>
      <c r="E14" s="181">
        <v>6</v>
      </c>
      <c r="F14" s="181">
        <v>5</v>
      </c>
      <c r="G14" s="182" t="s">
        <v>4</v>
      </c>
      <c r="H14" s="131">
        <f t="shared" si="0"/>
        <v>2.5</v>
      </c>
      <c r="I14" s="131">
        <v>27.4</v>
      </c>
      <c r="J14" s="131">
        <f t="shared" si="1"/>
        <v>1.1061466666666666</v>
      </c>
      <c r="K14" s="131">
        <f t="shared" si="10"/>
        <v>0.92807333333333331</v>
      </c>
      <c r="L14" s="131">
        <v>0.75</v>
      </c>
      <c r="M14" s="131">
        <f t="shared" si="2"/>
        <v>0.68500000000000005</v>
      </c>
      <c r="N14" s="131">
        <f t="shared" si="3"/>
        <v>0.91333333333333344</v>
      </c>
      <c r="O14" s="131">
        <v>0.09</v>
      </c>
      <c r="P14" s="131">
        <v>0.2</v>
      </c>
      <c r="Q14" s="131">
        <f t="shared" si="4"/>
        <v>0.10268656716417911</v>
      </c>
      <c r="R14" s="188">
        <f t="shared" si="8"/>
        <v>129.05427916407677</v>
      </c>
      <c r="S14" s="188">
        <f t="shared" si="5"/>
        <v>2.0379022044331251E-2</v>
      </c>
      <c r="T14" s="188">
        <f t="shared" si="6"/>
        <v>0.5</v>
      </c>
      <c r="U14" s="188">
        <v>33.5</v>
      </c>
      <c r="V14" s="188">
        <f>1-0.713</f>
        <v>0.28700000000000003</v>
      </c>
      <c r="W14" s="188">
        <f>(U14/100+V14)/2</f>
        <v>0.31100000000000005</v>
      </c>
      <c r="X14" s="188">
        <v>4.7E-2</v>
      </c>
      <c r="Y14" s="188">
        <v>0.98</v>
      </c>
      <c r="Z14" s="188">
        <f>(Y14+X14+M14)/3</f>
        <v>0.57066666666666666</v>
      </c>
      <c r="AA14" s="188">
        <f>-92/214</f>
        <v>-0.42990654205607476</v>
      </c>
      <c r="AB14" s="188">
        <f>AA14</f>
        <v>-0.42990654205607476</v>
      </c>
      <c r="AC14" s="188">
        <f t="shared" si="9"/>
        <v>1.2534253233187707</v>
      </c>
      <c r="AD14" s="188">
        <v>11</v>
      </c>
      <c r="AE14" s="188">
        <v>1</v>
      </c>
      <c r="AF14" s="188">
        <v>9.23</v>
      </c>
      <c r="AG14" s="188"/>
      <c r="AH14" s="188">
        <v>3.15</v>
      </c>
      <c r="AI14" s="188">
        <f t="shared" si="7"/>
        <v>9.7123887052609336E-3</v>
      </c>
    </row>
    <row r="15" spans="4:35" ht="14">
      <c r="D15" s="164" t="s">
        <v>15</v>
      </c>
      <c r="E15" s="181">
        <v>1</v>
      </c>
      <c r="F15" s="181">
        <v>1</v>
      </c>
      <c r="G15" s="182" t="s">
        <v>8</v>
      </c>
      <c r="H15" s="131">
        <f t="shared" si="0"/>
        <v>1</v>
      </c>
      <c r="I15" s="131">
        <v>27</v>
      </c>
      <c r="J15" s="131">
        <f t="shared" si="1"/>
        <v>1.0754000000000001</v>
      </c>
      <c r="K15" s="131">
        <f t="shared" si="10"/>
        <v>0.87270000000000003</v>
      </c>
      <c r="L15" s="131">
        <v>0.67</v>
      </c>
      <c r="M15" s="131">
        <f t="shared" si="2"/>
        <v>0.19000000000000006</v>
      </c>
      <c r="N15" s="131">
        <f t="shared" si="3"/>
        <v>0.25333333333333341</v>
      </c>
      <c r="O15" s="131">
        <v>0.08</v>
      </c>
      <c r="P15" s="131">
        <v>0.2</v>
      </c>
      <c r="Q15" s="131">
        <f t="shared" si="4"/>
        <v>0.10238805970149255</v>
      </c>
      <c r="R15" s="188">
        <f t="shared" si="8"/>
        <v>3.4158330201239075</v>
      </c>
      <c r="S15" s="188">
        <f t="shared" si="5"/>
        <v>0.76994395935214599</v>
      </c>
      <c r="T15" s="188">
        <f t="shared" si="6"/>
        <v>1</v>
      </c>
      <c r="U15" s="188"/>
      <c r="V15" s="188">
        <f>1-0.784</f>
        <v>0.21599999999999997</v>
      </c>
      <c r="W15" s="188">
        <f>V15</f>
        <v>0.21599999999999997</v>
      </c>
      <c r="X15" s="188"/>
      <c r="Y15" s="188">
        <v>0.8</v>
      </c>
      <c r="Z15" s="188">
        <f>(Y15+N15)/2</f>
        <v>0.52666666666666673</v>
      </c>
      <c r="AA15" s="188">
        <f>22/93</f>
        <v>0.23655913978494625</v>
      </c>
      <c r="AB15" s="188">
        <f>AA15</f>
        <v>0.23655913978494625</v>
      </c>
      <c r="AC15" s="188">
        <f t="shared" si="9"/>
        <v>2.6623942353960262</v>
      </c>
      <c r="AD15" s="188">
        <v>9.3000000000000007</v>
      </c>
      <c r="AE15" s="188">
        <v>14.2</v>
      </c>
      <c r="AF15" s="188">
        <v>3.5000000000000003E-2</v>
      </c>
      <c r="AG15" s="188"/>
      <c r="AH15" s="188">
        <v>8.1</v>
      </c>
      <c r="AI15" s="188">
        <f t="shared" si="7"/>
        <v>0.77942751291146228</v>
      </c>
    </row>
    <row r="16" spans="4:35" ht="14">
      <c r="D16" s="164" t="s">
        <v>16</v>
      </c>
      <c r="E16" s="181">
        <v>6</v>
      </c>
      <c r="F16" s="181">
        <v>5</v>
      </c>
      <c r="G16" s="182" t="s">
        <v>4</v>
      </c>
      <c r="H16" s="131">
        <f t="shared" si="0"/>
        <v>2.5</v>
      </c>
      <c r="I16" s="131"/>
      <c r="J16" s="131">
        <f t="shared" si="1"/>
        <v>-1</v>
      </c>
      <c r="K16" s="131">
        <v>0.75</v>
      </c>
      <c r="L16" s="131">
        <v>0.75</v>
      </c>
      <c r="M16" s="131">
        <f t="shared" si="2"/>
        <v>0.65100000000000002</v>
      </c>
      <c r="N16" s="131">
        <f t="shared" si="3"/>
        <v>0.86799999999999999</v>
      </c>
      <c r="O16" s="131">
        <v>0.08</v>
      </c>
      <c r="P16" s="131">
        <v>0.2</v>
      </c>
      <c r="Q16" s="131">
        <f t="shared" si="4"/>
        <v>0.10238805970149255</v>
      </c>
      <c r="R16" s="188">
        <f t="shared" si="8"/>
        <v>73.771328193410838</v>
      </c>
      <c r="S16" s="188">
        <f t="shared" si="5"/>
        <v>3.5650706912918349E-2</v>
      </c>
      <c r="T16" s="188">
        <f t="shared" si="6"/>
        <v>0.5</v>
      </c>
      <c r="U16" s="188"/>
      <c r="V16" s="188">
        <f>1-0.801</f>
        <v>0.19899999999999995</v>
      </c>
      <c r="W16" s="188">
        <f>V16</f>
        <v>0.19899999999999995</v>
      </c>
      <c r="X16" s="188">
        <v>0.753</v>
      </c>
      <c r="Y16" s="188">
        <v>0.85</v>
      </c>
      <c r="Z16" s="188">
        <f>(Y16+X16+M16)/3</f>
        <v>0.7513333333333333</v>
      </c>
      <c r="AA16" s="188" t="s">
        <v>225</v>
      </c>
      <c r="AB16" s="188">
        <v>0.1</v>
      </c>
      <c r="AC16" s="188">
        <f t="shared" si="9"/>
        <v>1.6907406150003872</v>
      </c>
      <c r="AD16" s="188" t="s">
        <v>223</v>
      </c>
      <c r="AE16" s="188">
        <v>15</v>
      </c>
      <c r="AF16" s="188">
        <v>1.234</v>
      </c>
      <c r="AG16" s="188"/>
      <c r="AH16" s="188">
        <v>3.49</v>
      </c>
      <c r="AI16" s="188">
        <f t="shared" si="7"/>
        <v>2.2918668490930084E-2</v>
      </c>
    </row>
    <row r="17" spans="4:35" ht="14">
      <c r="D17" s="164" t="s">
        <v>17</v>
      </c>
      <c r="E17" s="181">
        <v>3</v>
      </c>
      <c r="F17" s="181">
        <v>4</v>
      </c>
      <c r="G17" s="182" t="s">
        <v>3</v>
      </c>
      <c r="H17" s="131">
        <f t="shared" si="0"/>
        <v>1.8333333333333335</v>
      </c>
      <c r="I17" s="131">
        <v>26.6</v>
      </c>
      <c r="J17" s="131">
        <f t="shared" si="1"/>
        <v>1.0446533333333337</v>
      </c>
      <c r="K17" s="131">
        <f>(J17+L17)/2</f>
        <v>0.89732666666666683</v>
      </c>
      <c r="L17" s="183">
        <f>3/4</f>
        <v>0.75</v>
      </c>
      <c r="M17" s="131">
        <f t="shared" si="2"/>
        <v>0.41300000000000003</v>
      </c>
      <c r="N17" s="131">
        <f t="shared" si="3"/>
        <v>0.55066666666666675</v>
      </c>
      <c r="O17" s="131">
        <v>0.24</v>
      </c>
      <c r="P17" s="131">
        <v>0.2</v>
      </c>
      <c r="Q17" s="131">
        <f t="shared" si="4"/>
        <v>0.10716417910447762</v>
      </c>
      <c r="R17" s="188">
        <f t="shared" si="8"/>
        <v>17.307191454435369</v>
      </c>
      <c r="S17" s="188">
        <f t="shared" si="5"/>
        <v>0.15195995300127113</v>
      </c>
      <c r="T17" s="188">
        <f t="shared" si="6"/>
        <v>0.7222222222222221</v>
      </c>
      <c r="U17" s="188">
        <v>33.5</v>
      </c>
      <c r="V17" s="188">
        <f>1-0.469</f>
        <v>0.53100000000000003</v>
      </c>
      <c r="W17" s="188">
        <f>(U17/100+V17)/2</f>
        <v>0.43300000000000005</v>
      </c>
      <c r="X17" s="188">
        <v>0.36699999999999999</v>
      </c>
      <c r="Y17" s="188">
        <f>1-0.63</f>
        <v>0.37</v>
      </c>
      <c r="Z17" s="188">
        <f>(Y17+X17+M17)/3</f>
        <v>0.3833333333333333</v>
      </c>
      <c r="AA17" s="188">
        <f>-23/135</f>
        <v>-0.17037037037037037</v>
      </c>
      <c r="AB17" s="188">
        <f>AA17</f>
        <v>-0.17037037037037037</v>
      </c>
      <c r="AC17" s="188">
        <f t="shared" si="9"/>
        <v>1.5944499320771715</v>
      </c>
      <c r="AD17" s="188">
        <v>31.5</v>
      </c>
      <c r="AE17" s="188">
        <v>5</v>
      </c>
      <c r="AF17" s="188">
        <v>142</v>
      </c>
      <c r="AG17" s="188"/>
      <c r="AH17" s="188">
        <v>5.87</v>
      </c>
      <c r="AI17" s="188">
        <f t="shared" si="7"/>
        <v>9.2126439825599593E-2</v>
      </c>
    </row>
    <row r="18" spans="4:35" ht="14">
      <c r="D18" s="164" t="s">
        <v>18</v>
      </c>
      <c r="E18" s="181">
        <v>1</v>
      </c>
      <c r="F18" s="181">
        <v>1</v>
      </c>
      <c r="G18" s="182" t="s">
        <v>8</v>
      </c>
      <c r="H18" s="131">
        <f t="shared" si="0"/>
        <v>1</v>
      </c>
      <c r="I18" s="131"/>
      <c r="J18" s="131">
        <f t="shared" si="1"/>
        <v>-1</v>
      </c>
      <c r="K18" s="131">
        <v>0.75</v>
      </c>
      <c r="L18" s="131">
        <v>0.75</v>
      </c>
      <c r="M18" s="131">
        <f t="shared" si="2"/>
        <v>0.19000000000000006</v>
      </c>
      <c r="N18" s="131">
        <f t="shared" si="3"/>
        <v>0.25333333333333341</v>
      </c>
      <c r="O18" s="131">
        <v>0.06</v>
      </c>
      <c r="P18" s="131">
        <v>0.2</v>
      </c>
      <c r="Q18" s="131">
        <f t="shared" si="4"/>
        <v>0.1017910447761194</v>
      </c>
      <c r="R18" s="188">
        <f t="shared" si="8"/>
        <v>3.0196000175925524</v>
      </c>
      <c r="S18" s="188">
        <f t="shared" si="5"/>
        <v>0.87097628317568687</v>
      </c>
      <c r="T18" s="188">
        <f t="shared" si="6"/>
        <v>1</v>
      </c>
      <c r="U18" s="188"/>
      <c r="V18" s="188">
        <f>1-0.788</f>
        <v>0.21199999999999997</v>
      </c>
      <c r="W18" s="188">
        <f>V18</f>
        <v>0.21199999999999997</v>
      </c>
      <c r="X18" s="188">
        <v>1.0389999999999999</v>
      </c>
      <c r="Y18" s="188">
        <v>0.82</v>
      </c>
      <c r="Z18" s="188">
        <f>(Y18+X18+M18)/3</f>
        <v>0.68299999999999994</v>
      </c>
      <c r="AA18" s="188" t="s">
        <v>223</v>
      </c>
      <c r="AB18" s="188">
        <v>0.1</v>
      </c>
      <c r="AC18" s="188">
        <f t="shared" si="9"/>
        <v>2.7047243412794519</v>
      </c>
      <c r="AD18" s="188" t="s">
        <v>223</v>
      </c>
      <c r="AE18" s="188">
        <v>12</v>
      </c>
      <c r="AF18" s="188">
        <v>2.7E-2</v>
      </c>
      <c r="AG18" s="188"/>
      <c r="AH18" s="188">
        <v>8.1</v>
      </c>
      <c r="AI18" s="188">
        <f t="shared" si="7"/>
        <v>0.89572272006934794</v>
      </c>
    </row>
    <row r="19" spans="4:35" ht="14">
      <c r="D19" s="164" t="s">
        <v>19</v>
      </c>
      <c r="E19" s="181">
        <v>7</v>
      </c>
      <c r="F19" s="181">
        <v>6</v>
      </c>
      <c r="G19" s="182" t="s">
        <v>4</v>
      </c>
      <c r="H19" s="131">
        <f t="shared" si="0"/>
        <v>2.833333333333333</v>
      </c>
      <c r="I19" s="131">
        <v>21.9</v>
      </c>
      <c r="J19" s="131">
        <f t="shared" si="1"/>
        <v>0.68337999999999988</v>
      </c>
      <c r="K19" s="131">
        <f>(J19+L19)/2</f>
        <v>0.71668999999999994</v>
      </c>
      <c r="L19" s="131">
        <v>0.75</v>
      </c>
      <c r="M19" s="131">
        <f t="shared" si="2"/>
        <v>0.66600000000000004</v>
      </c>
      <c r="N19" s="131">
        <f t="shared" si="3"/>
        <v>0.88800000000000001</v>
      </c>
      <c r="O19" s="131">
        <v>0.18</v>
      </c>
      <c r="P19" s="131">
        <v>0.2</v>
      </c>
      <c r="Q19" s="131">
        <f t="shared" si="4"/>
        <v>0.10537313432835821</v>
      </c>
      <c r="R19" s="188">
        <f t="shared" si="8"/>
        <v>127.12602033836606</v>
      </c>
      <c r="S19" s="188">
        <f t="shared" si="5"/>
        <v>2.068813287004374E-2</v>
      </c>
      <c r="T19" s="188">
        <f t="shared" si="6"/>
        <v>0.38888888888888895</v>
      </c>
      <c r="U19" s="188">
        <v>27.2</v>
      </c>
      <c r="V19" s="188">
        <f>1-0.732</f>
        <v>0.26800000000000002</v>
      </c>
      <c r="W19" s="188">
        <f>(U19/100+V19)/2</f>
        <v>0.27</v>
      </c>
      <c r="X19" s="188"/>
      <c r="Y19" s="188">
        <v>0.47</v>
      </c>
      <c r="Z19" s="188">
        <f>(Y19+N19)/2</f>
        <v>0.67900000000000005</v>
      </c>
      <c r="AA19" s="188">
        <f>31/146</f>
        <v>0.21232876712328766</v>
      </c>
      <c r="AB19" s="188">
        <f>AA19</f>
        <v>0.21232876712328766</v>
      </c>
      <c r="AC19" s="188">
        <f t="shared" si="9"/>
        <v>1.5708672476380694</v>
      </c>
      <c r="AD19" s="188">
        <v>27.1</v>
      </c>
      <c r="AE19" s="188">
        <v>1</v>
      </c>
      <c r="AF19" s="188">
        <v>9.4629999999999992</v>
      </c>
      <c r="AG19" s="188"/>
      <c r="AH19" s="188">
        <v>3.34</v>
      </c>
      <c r="AI19" s="188">
        <f t="shared" si="7"/>
        <v>1.2356771992523302E-2</v>
      </c>
    </row>
    <row r="20" spans="4:35" ht="14">
      <c r="D20" s="164" t="s">
        <v>20</v>
      </c>
      <c r="E20" s="181">
        <v>1</v>
      </c>
      <c r="F20" s="181">
        <v>1</v>
      </c>
      <c r="G20" s="182" t="s">
        <v>8</v>
      </c>
      <c r="H20" s="131">
        <f t="shared" si="0"/>
        <v>1</v>
      </c>
      <c r="I20" s="131">
        <v>28.4</v>
      </c>
      <c r="J20" s="131">
        <f t="shared" si="1"/>
        <v>1.1830133333333333</v>
      </c>
      <c r="K20" s="131">
        <f>(J20+L20)/2</f>
        <v>0.96650666666666663</v>
      </c>
      <c r="L20" s="131">
        <v>0.75</v>
      </c>
      <c r="M20" s="131">
        <f t="shared" si="2"/>
        <v>0.19499999999999995</v>
      </c>
      <c r="N20" s="131">
        <f t="shared" si="3"/>
        <v>0.25999999999999995</v>
      </c>
      <c r="O20" s="131">
        <v>1.86</v>
      </c>
      <c r="P20" s="131">
        <v>0.4</v>
      </c>
      <c r="Q20" s="131">
        <f t="shared" si="4"/>
        <v>0.25552238805970151</v>
      </c>
      <c r="R20" s="188">
        <f t="shared" si="8"/>
        <v>4.4018682572519099</v>
      </c>
      <c r="S20" s="188">
        <f t="shared" si="5"/>
        <v>0.59747358310126053</v>
      </c>
      <c r="T20" s="188">
        <f t="shared" si="6"/>
        <v>1</v>
      </c>
      <c r="U20" s="188">
        <v>28</v>
      </c>
      <c r="V20" s="188">
        <f>1-0.867</f>
        <v>0.13300000000000001</v>
      </c>
      <c r="W20" s="188">
        <f>(U20/100+V20)/2</f>
        <v>0.20650000000000002</v>
      </c>
      <c r="X20" s="188">
        <v>0.997</v>
      </c>
      <c r="Y20" s="188">
        <v>0.8</v>
      </c>
      <c r="Z20" s="188">
        <f>(Y20+X20+M20)/3</f>
        <v>0.66400000000000003</v>
      </c>
      <c r="AA20" s="188">
        <f>1/106</f>
        <v>9.433962264150943E-3</v>
      </c>
      <c r="AB20" s="188">
        <f>AA20</f>
        <v>9.433962264150943E-3</v>
      </c>
      <c r="AC20" s="188">
        <f t="shared" si="9"/>
        <v>2.4107405013160692</v>
      </c>
      <c r="AD20" s="188">
        <v>15.2</v>
      </c>
      <c r="AE20" s="188">
        <v>7.7</v>
      </c>
      <c r="AF20" s="188">
        <v>10.89</v>
      </c>
      <c r="AG20" s="188"/>
      <c r="AH20" s="188">
        <v>8.0500000000000007</v>
      </c>
      <c r="AI20" s="188">
        <f t="shared" si="7"/>
        <v>0.54766302861165062</v>
      </c>
    </row>
    <row r="21" spans="4:35" ht="14">
      <c r="D21" s="164" t="s">
        <v>21</v>
      </c>
      <c r="E21" s="181">
        <v>1</v>
      </c>
      <c r="F21" s="181">
        <v>2</v>
      </c>
      <c r="G21" s="182" t="s">
        <v>8</v>
      </c>
      <c r="H21" s="131">
        <f t="shared" si="0"/>
        <v>1.1666666666666667</v>
      </c>
      <c r="I21" s="131"/>
      <c r="J21" s="131">
        <f t="shared" si="1"/>
        <v>-1</v>
      </c>
      <c r="K21" s="131">
        <v>0.75</v>
      </c>
      <c r="L21" s="131">
        <v>0.75</v>
      </c>
      <c r="M21" s="131">
        <f t="shared" si="2"/>
        <v>0.39</v>
      </c>
      <c r="N21" s="131">
        <f t="shared" si="3"/>
        <v>0.52</v>
      </c>
      <c r="O21" s="131">
        <v>0.04</v>
      </c>
      <c r="P21" s="131">
        <v>0.2</v>
      </c>
      <c r="Q21" s="131">
        <f t="shared" si="4"/>
        <v>0.10119402985074627</v>
      </c>
      <c r="R21" s="188">
        <f t="shared" si="8"/>
        <v>4.9516773024260212</v>
      </c>
      <c r="S21" s="188">
        <f t="shared" si="5"/>
        <v>0.53113315738718669</v>
      </c>
      <c r="T21" s="188">
        <f t="shared" si="6"/>
        <v>0.94444444444444442</v>
      </c>
      <c r="U21" s="188"/>
      <c r="V21" s="188">
        <v>0.30599999999999999</v>
      </c>
      <c r="W21" s="188">
        <f>V21</f>
        <v>0.30599999999999999</v>
      </c>
      <c r="X21" s="188">
        <v>0.83599999999999997</v>
      </c>
      <c r="Y21" s="188">
        <v>0.75</v>
      </c>
      <c r="Z21" s="188">
        <f>(Y21+X21+M21)/3</f>
        <v>0.65866666666666662</v>
      </c>
      <c r="AA21" s="188">
        <f>7/112</f>
        <v>6.25E-2</v>
      </c>
      <c r="AB21" s="188">
        <f>AA21</f>
        <v>6.25E-2</v>
      </c>
      <c r="AC21" s="188">
        <f t="shared" si="9"/>
        <v>2.6382131525656378</v>
      </c>
      <c r="AD21" s="188">
        <v>43</v>
      </c>
      <c r="AE21" s="188">
        <v>13.1</v>
      </c>
      <c r="AF21" s="188">
        <v>0.312</v>
      </c>
      <c r="AG21" s="188"/>
      <c r="AH21" s="188">
        <v>6.1</v>
      </c>
      <c r="AI21" s="188">
        <f t="shared" si="7"/>
        <v>0.53279181809223985</v>
      </c>
    </row>
    <row r="22" spans="4:35" ht="14">
      <c r="D22" s="164" t="s">
        <v>22</v>
      </c>
      <c r="E22" s="181">
        <v>2</v>
      </c>
      <c r="F22" s="181">
        <v>2</v>
      </c>
      <c r="G22" s="182" t="s">
        <v>8</v>
      </c>
      <c r="H22" s="131">
        <f t="shared" si="0"/>
        <v>1.3333333333333333</v>
      </c>
      <c r="I22" s="131">
        <v>29</v>
      </c>
      <c r="J22" s="131">
        <f t="shared" si="1"/>
        <v>1.229133333333333</v>
      </c>
      <c r="K22" s="131">
        <f>(J22+L22)/2</f>
        <v>0.98956666666666648</v>
      </c>
      <c r="L22" s="131">
        <v>0.75</v>
      </c>
      <c r="M22" s="131">
        <f t="shared" si="2"/>
        <v>0.38300000000000001</v>
      </c>
      <c r="N22" s="131">
        <f t="shared" si="3"/>
        <v>0.51066666666666671</v>
      </c>
      <c r="O22" s="131">
        <v>0.05</v>
      </c>
      <c r="P22" s="131">
        <v>0.2</v>
      </c>
      <c r="Q22" s="131">
        <f t="shared" si="4"/>
        <v>0.10149253731343284</v>
      </c>
      <c r="R22" s="188">
        <f t="shared" si="8"/>
        <v>8.4624141564740025</v>
      </c>
      <c r="S22" s="188">
        <f t="shared" si="5"/>
        <v>0.31078601819410723</v>
      </c>
      <c r="T22" s="188">
        <f t="shared" si="6"/>
        <v>0.88888888888888895</v>
      </c>
      <c r="U22" s="188">
        <v>36.5</v>
      </c>
      <c r="V22" s="188">
        <v>0.56499999999999995</v>
      </c>
      <c r="W22" s="188">
        <f>(U22/100+V22)/2</f>
        <v>0.46499999999999997</v>
      </c>
      <c r="X22" s="188"/>
      <c r="Y22" s="188">
        <v>0.62</v>
      </c>
      <c r="Z22" s="188">
        <f>(Y22+N22)/2</f>
        <v>0.56533333333333335</v>
      </c>
      <c r="AA22" s="188" t="s">
        <v>225</v>
      </c>
      <c r="AB22" s="188">
        <v>0.1</v>
      </c>
      <c r="AC22" s="188">
        <f t="shared" si="9"/>
        <v>2.7311990923751455</v>
      </c>
      <c r="AD22" s="188">
        <v>37.4</v>
      </c>
      <c r="AE22" s="188"/>
      <c r="AF22" s="188">
        <v>9</v>
      </c>
      <c r="AG22" s="188"/>
      <c r="AH22" s="188">
        <v>6.17</v>
      </c>
      <c r="AI22" s="188">
        <f t="shared" si="7"/>
        <v>0.32274467331354795</v>
      </c>
    </row>
    <row r="23" spans="4:35" ht="14">
      <c r="D23" s="164" t="s">
        <v>23</v>
      </c>
      <c r="E23" s="181">
        <v>4</v>
      </c>
      <c r="F23" s="181">
        <v>5</v>
      </c>
      <c r="G23" s="182" t="s">
        <v>3</v>
      </c>
      <c r="H23" s="131">
        <f t="shared" si="0"/>
        <v>2.166666666666667</v>
      </c>
      <c r="I23" s="131">
        <v>37.6</v>
      </c>
      <c r="J23" s="131">
        <f t="shared" si="1"/>
        <v>1.8901866666666667</v>
      </c>
      <c r="K23" s="131">
        <f>(J23+L23)/2</f>
        <v>1.2800933333333333</v>
      </c>
      <c r="L23" s="131">
        <v>0.67</v>
      </c>
      <c r="M23" s="131">
        <f t="shared" si="2"/>
        <v>0.53200000000000003</v>
      </c>
      <c r="N23" s="131">
        <f t="shared" si="3"/>
        <v>0.70933333333333337</v>
      </c>
      <c r="O23" s="131">
        <v>0.03</v>
      </c>
      <c r="P23" s="131">
        <v>0.2</v>
      </c>
      <c r="Q23" s="131">
        <f t="shared" si="4"/>
        <v>0.10089552238805971</v>
      </c>
      <c r="R23" s="188">
        <f t="shared" si="8"/>
        <v>92.668759529533503</v>
      </c>
      <c r="S23" s="188">
        <f t="shared" si="5"/>
        <v>2.8380653991184803E-2</v>
      </c>
      <c r="T23" s="188">
        <f t="shared" si="6"/>
        <v>0.61111111111111094</v>
      </c>
      <c r="U23" s="188"/>
      <c r="V23" s="189">
        <v>0.53</v>
      </c>
      <c r="W23" s="188">
        <f>V23</f>
        <v>0.53</v>
      </c>
      <c r="X23" s="188">
        <v>0.78900000000000003</v>
      </c>
      <c r="Y23" s="188">
        <v>0.19</v>
      </c>
      <c r="Z23" s="188">
        <f>(Y23+X23+M23)/3</f>
        <v>0.50366666666666671</v>
      </c>
      <c r="AA23" s="188" t="s">
        <v>225</v>
      </c>
      <c r="AB23" s="188">
        <v>0.1</v>
      </c>
      <c r="AC23" s="188">
        <f t="shared" si="9"/>
        <v>1.9992983545780689</v>
      </c>
      <c r="AD23" s="188">
        <v>23.2</v>
      </c>
      <c r="AE23" s="188">
        <v>4</v>
      </c>
      <c r="AF23" s="188">
        <v>0.72</v>
      </c>
      <c r="AG23" s="188"/>
      <c r="AH23" s="188">
        <v>4.68</v>
      </c>
      <c r="AI23" s="188">
        <f t="shared" si="7"/>
        <v>2.1574674838944975E-2</v>
      </c>
    </row>
    <row r="24" spans="4:35" ht="14">
      <c r="D24" s="165" t="s">
        <v>24</v>
      </c>
      <c r="E24" s="181">
        <v>3</v>
      </c>
      <c r="F24" s="181">
        <v>3</v>
      </c>
      <c r="G24" s="182" t="s">
        <v>3</v>
      </c>
      <c r="H24" s="131">
        <f t="shared" si="0"/>
        <v>1.6666666666666665</v>
      </c>
      <c r="I24" s="131">
        <v>45.5</v>
      </c>
      <c r="J24" s="131">
        <f t="shared" si="1"/>
        <v>2.4974333333333334</v>
      </c>
      <c r="K24" s="131">
        <f>(J24+L24)/2</f>
        <v>1.6237166666666667</v>
      </c>
      <c r="L24" s="131">
        <v>0.75</v>
      </c>
      <c r="M24" s="131">
        <f t="shared" si="2"/>
        <v>0.40800000000000003</v>
      </c>
      <c r="N24" s="131">
        <f t="shared" si="3"/>
        <v>0.54400000000000004</v>
      </c>
      <c r="O24" s="131">
        <v>0.1</v>
      </c>
      <c r="P24" s="131">
        <v>0.2</v>
      </c>
      <c r="Q24" s="131">
        <f t="shared" si="4"/>
        <v>0.10298507462686568</v>
      </c>
      <c r="R24" s="188">
        <f t="shared" si="8"/>
        <v>44.013785961694744</v>
      </c>
      <c r="S24" s="188">
        <f t="shared" si="5"/>
        <v>5.9754005308447961E-2</v>
      </c>
      <c r="T24" s="188">
        <f t="shared" si="6"/>
        <v>0.77777777777777779</v>
      </c>
      <c r="U24" s="188">
        <v>58.2</v>
      </c>
      <c r="V24" s="188">
        <v>0.35699999999999998</v>
      </c>
      <c r="W24" s="188">
        <f>(U24/100+V24)/2</f>
        <v>0.46950000000000003</v>
      </c>
      <c r="X24" s="188">
        <v>0.38</v>
      </c>
      <c r="Y24" s="188">
        <v>0.5</v>
      </c>
      <c r="Z24" s="188">
        <f>(Y24+X24+M24)/3</f>
        <v>0.42933333333333334</v>
      </c>
      <c r="AA24" s="188">
        <f>6/125</f>
        <v>4.8000000000000001E-2</v>
      </c>
      <c r="AB24" s="188">
        <f t="shared" ref="AB24:AB30" si="11">AA24</f>
        <v>4.8000000000000001E-2</v>
      </c>
      <c r="AC24" s="188">
        <f t="shared" si="9"/>
        <v>2.0884578565227936</v>
      </c>
      <c r="AD24" s="188">
        <v>30.3</v>
      </c>
      <c r="AE24" s="188">
        <v>7.6</v>
      </c>
      <c r="AF24" s="188">
        <v>10.42</v>
      </c>
      <c r="AG24" s="188"/>
      <c r="AH24" s="188">
        <v>5.92</v>
      </c>
      <c r="AI24" s="188">
        <f t="shared" si="7"/>
        <v>4.745008435176154E-2</v>
      </c>
    </row>
    <row r="25" spans="4:35" ht="14">
      <c r="D25" s="164" t="s">
        <v>25</v>
      </c>
      <c r="E25" s="181">
        <v>4</v>
      </c>
      <c r="F25" s="181">
        <v>3</v>
      </c>
      <c r="G25" s="182" t="s">
        <v>3</v>
      </c>
      <c r="H25" s="131">
        <f t="shared" si="0"/>
        <v>1.8333333333333335</v>
      </c>
      <c r="I25" s="131">
        <v>27.3</v>
      </c>
      <c r="J25" s="131">
        <f t="shared" si="1"/>
        <v>1.0984600000000002</v>
      </c>
      <c r="K25" s="131">
        <f>(J25+L25)/2</f>
        <v>0.92423000000000011</v>
      </c>
      <c r="L25" s="131">
        <v>0.75</v>
      </c>
      <c r="M25" s="131">
        <f t="shared" si="2"/>
        <v>0.46799999999999997</v>
      </c>
      <c r="N25" s="131">
        <f t="shared" si="3"/>
        <v>0.624</v>
      </c>
      <c r="O25" s="131">
        <v>0.1</v>
      </c>
      <c r="P25" s="131">
        <v>0.2</v>
      </c>
      <c r="Q25" s="131">
        <f t="shared" si="4"/>
        <v>0.10298507462686568</v>
      </c>
      <c r="R25" s="188">
        <f t="shared" si="8"/>
        <v>20.639931809733465</v>
      </c>
      <c r="S25" s="188">
        <f t="shared" si="5"/>
        <v>0.12742290159891581</v>
      </c>
      <c r="T25" s="188">
        <f t="shared" si="6"/>
        <v>0.7222222222222221</v>
      </c>
      <c r="U25" s="188">
        <v>36.200000000000003</v>
      </c>
      <c r="V25" s="188">
        <f>0.29</f>
        <v>0.28999999999999998</v>
      </c>
      <c r="W25" s="188">
        <f>(U25/100+V25)/2</f>
        <v>0.32600000000000001</v>
      </c>
      <c r="X25" s="188">
        <v>0.44</v>
      </c>
      <c r="Y25" s="188">
        <v>0.78</v>
      </c>
      <c r="Z25" s="188">
        <f>(Y25+X25+M25)/3</f>
        <v>0.56266666666666665</v>
      </c>
      <c r="AA25" s="188">
        <f>-49/117</f>
        <v>-0.41880341880341881</v>
      </c>
      <c r="AB25" s="188">
        <f t="shared" si="11"/>
        <v>-0.41880341880341881</v>
      </c>
      <c r="AC25" s="188">
        <f t="shared" si="9"/>
        <v>1.4040286045572368</v>
      </c>
      <c r="AD25" s="188">
        <v>18.600000000000001</v>
      </c>
      <c r="AE25" s="188">
        <v>43.3</v>
      </c>
      <c r="AF25" s="188">
        <v>3.8</v>
      </c>
      <c r="AG25" s="188"/>
      <c r="AH25" s="188">
        <v>5.32</v>
      </c>
      <c r="AI25" s="188">
        <f t="shared" si="7"/>
        <v>6.8024866433672962E-2</v>
      </c>
    </row>
    <row r="26" spans="4:35" ht="14">
      <c r="D26" s="164" t="s">
        <v>26</v>
      </c>
      <c r="E26" s="181">
        <v>3</v>
      </c>
      <c r="F26" s="181">
        <v>2</v>
      </c>
      <c r="G26" s="182" t="s">
        <v>8</v>
      </c>
      <c r="H26" s="131">
        <f t="shared" si="0"/>
        <v>1.5</v>
      </c>
      <c r="I26" s="131"/>
      <c r="J26" s="131">
        <f t="shared" si="1"/>
        <v>-1</v>
      </c>
      <c r="K26" s="131">
        <v>0.75</v>
      </c>
      <c r="L26" s="131">
        <v>0.75</v>
      </c>
      <c r="M26" s="131">
        <f t="shared" si="2"/>
        <v>0.23699999999999999</v>
      </c>
      <c r="N26" s="131">
        <f t="shared" si="3"/>
        <v>0.316</v>
      </c>
      <c r="O26" s="131">
        <v>0.06</v>
      </c>
      <c r="P26" s="131">
        <v>0.2</v>
      </c>
      <c r="Q26" s="131">
        <f t="shared" si="4"/>
        <v>0.1017910447761194</v>
      </c>
      <c r="R26" s="188">
        <f t="shared" si="8"/>
        <v>5.7643163890341356</v>
      </c>
      <c r="S26" s="188">
        <f t="shared" si="5"/>
        <v>0.45625531676284004</v>
      </c>
      <c r="T26" s="188">
        <f t="shared" si="6"/>
        <v>0.83333333333333337</v>
      </c>
      <c r="U26" s="188">
        <v>63</v>
      </c>
      <c r="V26" s="188">
        <v>0.36699999999999999</v>
      </c>
      <c r="W26" s="188">
        <f>(U26/100+V26)/2</f>
        <v>0.4985</v>
      </c>
      <c r="X26" s="188">
        <v>0.20300000000000001</v>
      </c>
      <c r="Y26" s="188">
        <v>0.38</v>
      </c>
      <c r="Z26" s="188">
        <f>(Y26+X26+M26)/3</f>
        <v>0.27333333333333332</v>
      </c>
      <c r="AA26" s="188">
        <f>59/115</f>
        <v>0.5130434782608696</v>
      </c>
      <c r="AB26" s="188">
        <f t="shared" si="11"/>
        <v>0.5130434782608696</v>
      </c>
      <c r="AC26" s="188">
        <f t="shared" si="9"/>
        <v>2.917510477198729</v>
      </c>
      <c r="AD26" s="188">
        <v>30.3</v>
      </c>
      <c r="AE26" s="188">
        <v>7.5</v>
      </c>
      <c r="AF26" s="188">
        <v>2</v>
      </c>
      <c r="AG26" s="188"/>
      <c r="AH26" s="188">
        <v>7.63</v>
      </c>
      <c r="AI26" s="188">
        <f t="shared" si="7"/>
        <v>0.50613295320654406</v>
      </c>
    </row>
    <row r="27" spans="4:35" ht="14">
      <c r="D27" s="164" t="s">
        <v>27</v>
      </c>
      <c r="E27" s="181">
        <v>2</v>
      </c>
      <c r="F27" s="181">
        <v>2</v>
      </c>
      <c r="G27" s="182" t="s">
        <v>8</v>
      </c>
      <c r="H27" s="131">
        <f t="shared" si="0"/>
        <v>1.3333333333333333</v>
      </c>
      <c r="I27" s="131">
        <v>42.5</v>
      </c>
      <c r="J27" s="131">
        <f t="shared" si="1"/>
        <v>2.266833333333333</v>
      </c>
      <c r="K27" s="131">
        <f>(J27+L27)/2</f>
        <v>1.6334166666666665</v>
      </c>
      <c r="L27" s="131">
        <v>1</v>
      </c>
      <c r="M27" s="131">
        <f t="shared" si="2"/>
        <v>0.28800000000000003</v>
      </c>
      <c r="N27" s="131">
        <f t="shared" si="3"/>
        <v>0.38400000000000006</v>
      </c>
      <c r="O27" s="131">
        <v>1.72</v>
      </c>
      <c r="P27" s="131">
        <v>0.6</v>
      </c>
      <c r="Q27" s="131">
        <f t="shared" si="4"/>
        <v>0.35134328358208955</v>
      </c>
      <c r="R27" s="188">
        <f t="shared" si="8"/>
        <v>23.531656513655854</v>
      </c>
      <c r="S27" s="188">
        <f t="shared" si="5"/>
        <v>0.11176433747763412</v>
      </c>
      <c r="T27" s="188">
        <f t="shared" si="6"/>
        <v>0.88888888888888895</v>
      </c>
      <c r="U27" s="188">
        <v>51.9</v>
      </c>
      <c r="V27" s="188">
        <v>0.30099999999999999</v>
      </c>
      <c r="W27" s="188">
        <f>(U27/100+V27)/2</f>
        <v>0.41000000000000003</v>
      </c>
      <c r="X27" s="188">
        <v>0.54400000000000004</v>
      </c>
      <c r="Y27" s="188">
        <v>0.73</v>
      </c>
      <c r="Z27" s="188">
        <f>(Y27+X27+M27)/3</f>
        <v>0.52066666666666672</v>
      </c>
      <c r="AA27" s="188">
        <f>75/124</f>
        <v>0.60483870967741937</v>
      </c>
      <c r="AB27" s="188">
        <f t="shared" si="11"/>
        <v>0.60483870967741937</v>
      </c>
      <c r="AC27" s="188">
        <f t="shared" si="9"/>
        <v>3.9153067069223009</v>
      </c>
      <c r="AD27" s="188">
        <v>26</v>
      </c>
      <c r="AE27" s="188">
        <v>6</v>
      </c>
      <c r="AF27" s="188">
        <v>192</v>
      </c>
      <c r="AG27" s="188"/>
      <c r="AH27" s="188">
        <v>7.12</v>
      </c>
      <c r="AI27" s="188">
        <f t="shared" si="7"/>
        <v>0.16638466164293092</v>
      </c>
    </row>
    <row r="28" spans="4:35" ht="14">
      <c r="D28" s="164" t="s">
        <v>28</v>
      </c>
      <c r="E28" s="181">
        <v>6</v>
      </c>
      <c r="F28" s="181">
        <v>5</v>
      </c>
      <c r="G28" s="182" t="s">
        <v>4</v>
      </c>
      <c r="H28" s="131">
        <f t="shared" si="0"/>
        <v>2.5</v>
      </c>
      <c r="I28" s="131"/>
      <c r="J28" s="131">
        <f t="shared" si="1"/>
        <v>-1</v>
      </c>
      <c r="K28" s="131">
        <v>0.67</v>
      </c>
      <c r="L28" s="131">
        <v>0.67</v>
      </c>
      <c r="M28" s="131">
        <f t="shared" si="2"/>
        <v>0.64</v>
      </c>
      <c r="N28" s="131">
        <f t="shared" si="3"/>
        <v>0.85333333333333339</v>
      </c>
      <c r="O28" s="131">
        <v>1.1000000000000001</v>
      </c>
      <c r="P28" s="131">
        <v>0.2</v>
      </c>
      <c r="Q28" s="131">
        <f t="shared" si="4"/>
        <v>0.1328358208955224</v>
      </c>
      <c r="R28" s="188">
        <f t="shared" si="8"/>
        <v>62.829385472657485</v>
      </c>
      <c r="S28" s="188">
        <f t="shared" si="5"/>
        <v>4.1859393979661652E-2</v>
      </c>
      <c r="T28" s="188">
        <f t="shared" si="6"/>
        <v>0.5</v>
      </c>
      <c r="U28" s="188"/>
      <c r="V28" s="188">
        <f>1-0.805</f>
        <v>0.19499999999999995</v>
      </c>
      <c r="W28" s="188">
        <f>V28</f>
        <v>0.19499999999999995</v>
      </c>
      <c r="X28" s="188"/>
      <c r="Y28" s="188">
        <v>0.72</v>
      </c>
      <c r="Z28" s="188">
        <f>(Y28+N28)/2</f>
        <v>0.78666666666666663</v>
      </c>
      <c r="AA28" s="188">
        <f>24/101</f>
        <v>0.23762376237623761</v>
      </c>
      <c r="AB28" s="188">
        <f t="shared" si="11"/>
        <v>0.23762376237623761</v>
      </c>
      <c r="AC28" s="188">
        <f t="shared" si="9"/>
        <v>1.8397785562634568</v>
      </c>
      <c r="AD28" s="188" t="s">
        <v>223</v>
      </c>
      <c r="AE28" s="188">
        <v>2.7</v>
      </c>
      <c r="AF28" s="188">
        <v>0.42</v>
      </c>
      <c r="AG28" s="188"/>
      <c r="AH28" s="188">
        <v>3.6</v>
      </c>
      <c r="AI28" s="188">
        <f t="shared" si="7"/>
        <v>2.9282135141431614E-2</v>
      </c>
    </row>
    <row r="29" spans="4:35" ht="14">
      <c r="D29" s="164" t="s">
        <v>29</v>
      </c>
      <c r="E29" s="181">
        <v>2</v>
      </c>
      <c r="F29" s="181">
        <v>2</v>
      </c>
      <c r="G29" s="182" t="s">
        <v>8</v>
      </c>
      <c r="H29" s="131">
        <f t="shared" si="0"/>
        <v>1.3333333333333333</v>
      </c>
      <c r="I29" s="131">
        <v>35.200000000000003</v>
      </c>
      <c r="J29" s="131">
        <f t="shared" si="1"/>
        <v>1.7057066666666669</v>
      </c>
      <c r="K29" s="131">
        <f t="shared" ref="K29:K46" si="12">(J29+L29)/2</f>
        <v>1.2278533333333335</v>
      </c>
      <c r="L29" s="131">
        <v>0.75</v>
      </c>
      <c r="M29" s="131">
        <f t="shared" si="2"/>
        <v>0.31600000000000006</v>
      </c>
      <c r="N29" s="131">
        <f t="shared" si="3"/>
        <v>0.42133333333333339</v>
      </c>
      <c r="O29" s="131">
        <v>0.28000000000000003</v>
      </c>
      <c r="P29" s="131">
        <v>0.2</v>
      </c>
      <c r="Q29" s="131">
        <f t="shared" si="4"/>
        <v>0.10835820895522388</v>
      </c>
      <c r="R29" s="188">
        <f t="shared" si="8"/>
        <v>10.416521667483714</v>
      </c>
      <c r="S29" s="188">
        <f t="shared" si="5"/>
        <v>0.2524835145507186</v>
      </c>
      <c r="T29" s="188">
        <f t="shared" si="6"/>
        <v>0.88888888888888895</v>
      </c>
      <c r="U29" s="188">
        <v>45.3</v>
      </c>
      <c r="V29" s="188">
        <f>1-0.743</f>
        <v>0.25700000000000001</v>
      </c>
      <c r="W29" s="188">
        <f>(U29/100+V29)/2</f>
        <v>0.35499999999999998</v>
      </c>
      <c r="X29" s="188">
        <v>0.17499999999999999</v>
      </c>
      <c r="Y29" s="188">
        <v>0.78</v>
      </c>
      <c r="Z29" s="188">
        <f>(Y29+X29+M29)/3</f>
        <v>0.42366666666666669</v>
      </c>
      <c r="AA29" s="188">
        <f>-29/114</f>
        <v>-0.25438596491228072</v>
      </c>
      <c r="AB29" s="188">
        <f t="shared" si="11"/>
        <v>-0.25438596491228072</v>
      </c>
      <c r="AC29" s="188">
        <f t="shared" si="9"/>
        <v>1.5936504901914195</v>
      </c>
      <c r="AD29" s="188">
        <v>21.8</v>
      </c>
      <c r="AE29" s="188">
        <v>8.8000000000000007</v>
      </c>
      <c r="AF29" s="188">
        <v>7.3</v>
      </c>
      <c r="AG29" s="188"/>
      <c r="AH29" s="188">
        <v>6.84</v>
      </c>
      <c r="AI29" s="188">
        <f t="shared" si="7"/>
        <v>0.15299257670304375</v>
      </c>
    </row>
    <row r="30" spans="4:35" ht="14">
      <c r="D30" s="164" t="s">
        <v>30</v>
      </c>
      <c r="E30" s="181">
        <v>5</v>
      </c>
      <c r="F30" s="181">
        <v>3</v>
      </c>
      <c r="G30" s="182" t="s">
        <v>3</v>
      </c>
      <c r="H30" s="131">
        <f t="shared" si="0"/>
        <v>2</v>
      </c>
      <c r="I30" s="131">
        <v>32</v>
      </c>
      <c r="J30" s="131">
        <f t="shared" si="1"/>
        <v>1.4597333333333333</v>
      </c>
      <c r="K30" s="131">
        <f t="shared" si="12"/>
        <v>1.1048666666666667</v>
      </c>
      <c r="L30" s="131">
        <v>0.75</v>
      </c>
      <c r="M30" s="131">
        <f t="shared" si="2"/>
        <v>0.64100000000000001</v>
      </c>
      <c r="N30" s="131">
        <f t="shared" si="3"/>
        <v>0.85466666666666669</v>
      </c>
      <c r="O30" s="131">
        <v>0.05</v>
      </c>
      <c r="P30" s="131">
        <v>0.2</v>
      </c>
      <c r="Q30" s="131">
        <f t="shared" si="4"/>
        <v>0.10149253731343284</v>
      </c>
      <c r="R30" s="188">
        <f t="shared" si="8"/>
        <v>61.685675563638185</v>
      </c>
      <c r="S30" s="188">
        <f t="shared" si="5"/>
        <v>4.2635506152263074E-2</v>
      </c>
      <c r="T30" s="188">
        <f t="shared" si="6"/>
        <v>0.66666666666666674</v>
      </c>
      <c r="U30" s="188">
        <v>39.5</v>
      </c>
      <c r="V30" s="188">
        <v>0.69499999999999995</v>
      </c>
      <c r="W30" s="188">
        <f>(U30/100+V30)/2</f>
        <v>0.54499999999999993</v>
      </c>
      <c r="X30" s="188"/>
      <c r="Y30" s="188">
        <v>0.51</v>
      </c>
      <c r="Z30" s="188">
        <f>(Y30+N30)/2</f>
        <v>0.68233333333333335</v>
      </c>
      <c r="AA30" s="188">
        <f>-17/130</f>
        <v>-0.13076923076923078</v>
      </c>
      <c r="AB30" s="188">
        <f t="shared" si="11"/>
        <v>-0.13076923076923078</v>
      </c>
      <c r="AC30" s="188">
        <f t="shared" si="9"/>
        <v>2.07724549544626</v>
      </c>
      <c r="AD30" s="188">
        <v>46.4</v>
      </c>
      <c r="AE30" s="188">
        <v>77</v>
      </c>
      <c r="AF30" s="188">
        <v>16</v>
      </c>
      <c r="AG30" s="188"/>
      <c r="AH30" s="188">
        <v>3.59</v>
      </c>
      <c r="AI30" s="188">
        <f t="shared" si="7"/>
        <v>3.3674681787399158E-2</v>
      </c>
    </row>
    <row r="31" spans="4:35" ht="14">
      <c r="D31" s="164" t="s">
        <v>31</v>
      </c>
      <c r="E31" s="181">
        <v>7</v>
      </c>
      <c r="F31" s="181">
        <v>7</v>
      </c>
      <c r="G31" s="182" t="s">
        <v>4</v>
      </c>
      <c r="H31" s="131">
        <f t="shared" si="0"/>
        <v>3</v>
      </c>
      <c r="I31" s="131">
        <v>32</v>
      </c>
      <c r="J31" s="131">
        <f t="shared" si="1"/>
        <v>1.4597333333333333</v>
      </c>
      <c r="K31" s="131">
        <f t="shared" si="12"/>
        <v>1.1048666666666667</v>
      </c>
      <c r="L31" s="131">
        <v>0.75</v>
      </c>
      <c r="M31" s="131">
        <f t="shared" si="2"/>
        <v>0.81</v>
      </c>
      <c r="N31" s="131">
        <f t="shared" si="3"/>
        <v>1.08</v>
      </c>
      <c r="O31" s="131">
        <v>0.05</v>
      </c>
      <c r="P31" s="131">
        <v>0.2</v>
      </c>
      <c r="Q31" s="131">
        <f t="shared" si="4"/>
        <v>0.10149253731343284</v>
      </c>
      <c r="R31" s="188">
        <f t="shared" si="8"/>
        <v>952.48809852917395</v>
      </c>
      <c r="S31" s="188">
        <f t="shared" si="5"/>
        <v>2.76118935665572E-3</v>
      </c>
      <c r="T31" s="188">
        <f t="shared" si="6"/>
        <v>0.33333333333333337</v>
      </c>
      <c r="U31" s="188"/>
      <c r="V31" s="189">
        <v>0.9</v>
      </c>
      <c r="W31" s="188">
        <f>V31</f>
        <v>0.9</v>
      </c>
      <c r="X31" s="188"/>
      <c r="Y31" s="188">
        <v>0.45</v>
      </c>
      <c r="Z31" s="188">
        <f>(Y31+N31)/2</f>
        <v>0.76500000000000001</v>
      </c>
      <c r="AA31" s="188" t="s">
        <v>223</v>
      </c>
      <c r="AB31" s="188">
        <v>0.1</v>
      </c>
      <c r="AC31" s="188">
        <f t="shared" si="9"/>
        <v>1.80098427218694</v>
      </c>
      <c r="AD31" s="188">
        <v>32.700000000000003</v>
      </c>
      <c r="AE31" s="188">
        <v>5.5</v>
      </c>
      <c r="AF31" s="188">
        <v>60</v>
      </c>
      <c r="AG31" s="188"/>
      <c r="AH31" s="188">
        <v>1.9</v>
      </c>
      <c r="AI31" s="188">
        <f t="shared" si="7"/>
        <v>1.8908207619265883E-3</v>
      </c>
    </row>
    <row r="32" spans="4:35" ht="14">
      <c r="D32" s="164" t="s">
        <v>32</v>
      </c>
      <c r="E32" s="181">
        <v>5</v>
      </c>
      <c r="F32" s="181">
        <v>5</v>
      </c>
      <c r="G32" s="182" t="s">
        <v>3</v>
      </c>
      <c r="H32" s="131">
        <f t="shared" si="0"/>
        <v>2.333333333333333</v>
      </c>
      <c r="I32" s="131">
        <v>28</v>
      </c>
      <c r="J32" s="131">
        <f t="shared" si="1"/>
        <v>1.1522666666666668</v>
      </c>
      <c r="K32" s="131">
        <f t="shared" si="12"/>
        <v>0.95113333333333339</v>
      </c>
      <c r="L32" s="131">
        <v>0.75</v>
      </c>
      <c r="M32" s="131">
        <f t="shared" si="2"/>
        <v>0.59899999999999998</v>
      </c>
      <c r="N32" s="131">
        <f t="shared" si="3"/>
        <v>0.79866666666666664</v>
      </c>
      <c r="O32" s="131">
        <v>0.06</v>
      </c>
      <c r="P32" s="131">
        <v>0.2</v>
      </c>
      <c r="Q32" s="131">
        <f t="shared" si="4"/>
        <v>0.1017910447761194</v>
      </c>
      <c r="R32" s="188">
        <f t="shared" si="8"/>
        <v>75.217138041419432</v>
      </c>
      <c r="S32" s="188">
        <f t="shared" si="5"/>
        <v>3.4965435650473053E-2</v>
      </c>
      <c r="T32" s="188">
        <f t="shared" si="6"/>
        <v>0.55555555555555558</v>
      </c>
      <c r="U32" s="188">
        <v>42.4</v>
      </c>
      <c r="V32" s="188">
        <v>0.71799999999999997</v>
      </c>
      <c r="W32" s="188">
        <f>(U32/100+V32)/2</f>
        <v>0.57099999999999995</v>
      </c>
      <c r="X32" s="188"/>
      <c r="Y32" s="188">
        <v>0.57999999999999996</v>
      </c>
      <c r="Z32" s="188">
        <f>(Y32+N32)/2</f>
        <v>0.68933333333333335</v>
      </c>
      <c r="AA32" s="188" t="s">
        <v>225</v>
      </c>
      <c r="AB32" s="188">
        <v>0.1</v>
      </c>
      <c r="AC32" s="188">
        <f t="shared" si="9"/>
        <v>2.1291881157421337</v>
      </c>
      <c r="AD32" s="188">
        <v>68</v>
      </c>
      <c r="AE32" s="188"/>
      <c r="AF32" s="188">
        <v>8</v>
      </c>
      <c r="AG32" s="188"/>
      <c r="AH32" s="188">
        <v>4.01</v>
      </c>
      <c r="AI32" s="188">
        <f t="shared" si="7"/>
        <v>2.830722055084926E-2</v>
      </c>
    </row>
    <row r="33" spans="4:35" ht="14">
      <c r="D33" s="164" t="s">
        <v>33</v>
      </c>
      <c r="E33" s="181">
        <v>6</v>
      </c>
      <c r="F33" s="181">
        <v>5</v>
      </c>
      <c r="G33" s="182" t="s">
        <v>4</v>
      </c>
      <c r="H33" s="131">
        <f t="shared" si="0"/>
        <v>2.5</v>
      </c>
      <c r="I33" s="131">
        <v>37.299999999999997</v>
      </c>
      <c r="J33" s="131">
        <f t="shared" si="1"/>
        <v>1.8671266666666662</v>
      </c>
      <c r="K33" s="131">
        <f t="shared" si="12"/>
        <v>1.3085633333333331</v>
      </c>
      <c r="L33" s="131">
        <v>0.75</v>
      </c>
      <c r="M33" s="131">
        <f t="shared" si="2"/>
        <v>0.51300000000000001</v>
      </c>
      <c r="N33" s="131">
        <f t="shared" si="3"/>
        <v>0.68400000000000005</v>
      </c>
      <c r="O33" s="131">
        <v>0.06</v>
      </c>
      <c r="P33" s="131">
        <v>0.2</v>
      </c>
      <c r="Q33" s="131">
        <f t="shared" si="4"/>
        <v>0.1017910447761194</v>
      </c>
      <c r="R33" s="188">
        <f t="shared" si="8"/>
        <v>187.89549775464593</v>
      </c>
      <c r="S33" s="188">
        <f t="shared" si="5"/>
        <v>1.3997142195680792E-2</v>
      </c>
      <c r="T33" s="188">
        <f t="shared" si="6"/>
        <v>0.5</v>
      </c>
      <c r="U33" s="188">
        <v>44.4</v>
      </c>
      <c r="V33" s="188">
        <v>0.50600000000000001</v>
      </c>
      <c r="W33" s="188">
        <f>(U33/100+V33)/2</f>
        <v>0.47499999999999998</v>
      </c>
      <c r="X33" s="188"/>
      <c r="Y33" s="188">
        <v>0.33</v>
      </c>
      <c r="Z33" s="188">
        <f>(Y33+N33)/2</f>
        <v>0.50700000000000001</v>
      </c>
      <c r="AA33" s="188">
        <f>10/136</f>
        <v>7.3529411764705885E-2</v>
      </c>
      <c r="AB33" s="188">
        <f t="shared" ref="AB33:AB41" si="13">AA33</f>
        <v>7.3529411764705885E-2</v>
      </c>
      <c r="AC33" s="188">
        <f t="shared" si="9"/>
        <v>1.6951389364535361</v>
      </c>
      <c r="AD33" s="188">
        <v>31</v>
      </c>
      <c r="AE33" s="188">
        <v>3.5</v>
      </c>
      <c r="AF33" s="188">
        <v>13.395</v>
      </c>
      <c r="AG33" s="188"/>
      <c r="AH33" s="188">
        <v>4.87</v>
      </c>
      <c r="AI33" s="188">
        <f t="shared" si="7"/>
        <v>9.0217113060742388E-3</v>
      </c>
    </row>
    <row r="34" spans="4:35" ht="14">
      <c r="D34" s="164" t="s">
        <v>34</v>
      </c>
      <c r="E34" s="181">
        <v>6</v>
      </c>
      <c r="F34" s="181">
        <v>6</v>
      </c>
      <c r="G34" s="182" t="s">
        <v>4</v>
      </c>
      <c r="H34" s="131">
        <f t="shared" si="0"/>
        <v>2.666666666666667</v>
      </c>
      <c r="I34" s="131">
        <v>35.4</v>
      </c>
      <c r="J34" s="131">
        <f t="shared" si="1"/>
        <v>1.7210800000000002</v>
      </c>
      <c r="K34" s="131">
        <f t="shared" si="12"/>
        <v>1.2355400000000001</v>
      </c>
      <c r="L34" s="131">
        <v>0.75</v>
      </c>
      <c r="M34" s="131">
        <f t="shared" si="2"/>
        <v>0.65900000000000003</v>
      </c>
      <c r="N34" s="131">
        <f t="shared" si="3"/>
        <v>0.87866666666666671</v>
      </c>
      <c r="O34" s="131">
        <v>0.1</v>
      </c>
      <c r="P34" s="131">
        <v>0.2</v>
      </c>
      <c r="Q34" s="131">
        <f t="shared" si="4"/>
        <v>0.10298507462686568</v>
      </c>
      <c r="R34" s="188">
        <f t="shared" si="8"/>
        <v>369.63325453676629</v>
      </c>
      <c r="S34" s="188">
        <f t="shared" si="5"/>
        <v>7.1151606835158331E-3</v>
      </c>
      <c r="T34" s="188">
        <f t="shared" si="6"/>
        <v>0.44444444444444431</v>
      </c>
      <c r="U34" s="188">
        <v>44.6</v>
      </c>
      <c r="V34" s="188">
        <v>0.54</v>
      </c>
      <c r="W34" s="188">
        <f>(U34/100+V34)/2</f>
        <v>0.49299999999999999</v>
      </c>
      <c r="X34" s="188">
        <v>0.16200000000000001</v>
      </c>
      <c r="Y34" s="188">
        <v>0.62</v>
      </c>
      <c r="Z34" s="188">
        <f>(Y34+X34+M34)/3</f>
        <v>0.48033333333333333</v>
      </c>
      <c r="AA34" s="188">
        <f>29/115</f>
        <v>0.25217391304347825</v>
      </c>
      <c r="AB34" s="188">
        <f t="shared" si="13"/>
        <v>0.25217391304347825</v>
      </c>
      <c r="AC34" s="188">
        <f t="shared" si="9"/>
        <v>1.7240391611687005</v>
      </c>
      <c r="AD34" s="188">
        <v>48</v>
      </c>
      <c r="AE34" s="188">
        <v>30</v>
      </c>
      <c r="AF34" s="188">
        <v>19.399999999999999</v>
      </c>
      <c r="AG34" s="188"/>
      <c r="AH34" s="188">
        <v>3.41</v>
      </c>
      <c r="AI34" s="188">
        <f t="shared" si="7"/>
        <v>4.6641884625053818E-3</v>
      </c>
    </row>
    <row r="35" spans="4:35" ht="14">
      <c r="D35" s="164" t="s">
        <v>35</v>
      </c>
      <c r="E35" s="181">
        <v>1</v>
      </c>
      <c r="F35" s="181">
        <v>1</v>
      </c>
      <c r="G35" s="182" t="s">
        <v>8</v>
      </c>
      <c r="H35" s="131">
        <f t="shared" si="0"/>
        <v>1</v>
      </c>
      <c r="I35" s="131">
        <v>24.8</v>
      </c>
      <c r="J35" s="131">
        <f t="shared" si="1"/>
        <v>0.9062933333333334</v>
      </c>
      <c r="K35" s="131">
        <f t="shared" si="12"/>
        <v>0.78648000000000007</v>
      </c>
      <c r="L35" s="131">
        <f>2/3</f>
        <v>0.66666666666666663</v>
      </c>
      <c r="M35" s="131">
        <f t="shared" si="2"/>
        <v>9.1999999999999971E-2</v>
      </c>
      <c r="N35" s="131">
        <f t="shared" si="3"/>
        <v>0.12266666666666663</v>
      </c>
      <c r="O35" s="131">
        <v>2.56</v>
      </c>
      <c r="P35" s="131">
        <v>0.4</v>
      </c>
      <c r="Q35" s="131">
        <f t="shared" si="4"/>
        <v>0.27641791044776121</v>
      </c>
      <c r="R35" s="188">
        <f t="shared" si="8"/>
        <v>3.2725338977532501</v>
      </c>
      <c r="S35" s="188">
        <f t="shared" si="5"/>
        <v>0.80365859672396966</v>
      </c>
      <c r="T35" s="188">
        <f t="shared" si="6"/>
        <v>1</v>
      </c>
      <c r="U35" s="188">
        <v>32.1</v>
      </c>
      <c r="V35" s="188">
        <f>1-0.888</f>
        <v>0.11199999999999999</v>
      </c>
      <c r="W35" s="188">
        <f>(U35/100+V35)/2</f>
        <v>0.2165</v>
      </c>
      <c r="X35" s="188">
        <v>0.83499999999999996</v>
      </c>
      <c r="Y35" s="188">
        <v>0.78</v>
      </c>
      <c r="Z35" s="188">
        <f>(Y35+X35+M35)/3</f>
        <v>0.56899999999999995</v>
      </c>
      <c r="AA35" s="188">
        <f>14/106</f>
        <v>0.13207547169811321</v>
      </c>
      <c r="AB35" s="188">
        <f t="shared" si="13"/>
        <v>0.13207547169811321</v>
      </c>
      <c r="AC35" s="188">
        <f t="shared" si="9"/>
        <v>2.5032139136392546</v>
      </c>
      <c r="AD35" s="188">
        <v>9.4</v>
      </c>
      <c r="AE35" s="188">
        <v>7.4</v>
      </c>
      <c r="AF35" s="188">
        <v>34.700000000000003</v>
      </c>
      <c r="AG35" s="188"/>
      <c r="AH35" s="188">
        <v>9.08</v>
      </c>
      <c r="AI35" s="188">
        <f t="shared" si="7"/>
        <v>0.76491611450009112</v>
      </c>
    </row>
    <row r="36" spans="4:35" ht="14">
      <c r="D36" s="164" t="s">
        <v>36</v>
      </c>
      <c r="E36" s="181">
        <v>1</v>
      </c>
      <c r="F36" s="181">
        <v>1</v>
      </c>
      <c r="G36" s="182" t="s">
        <v>8</v>
      </c>
      <c r="H36" s="131">
        <f t="shared" ref="H36:H67" si="14">1+(-2+E36+F36)/6</f>
        <v>1</v>
      </c>
      <c r="I36" s="131">
        <v>40.6</v>
      </c>
      <c r="J36" s="131">
        <f t="shared" si="1"/>
        <v>2.120786666666667</v>
      </c>
      <c r="K36" s="131">
        <f t="shared" si="12"/>
        <v>1.4353933333333335</v>
      </c>
      <c r="L36" s="131">
        <v>0.75</v>
      </c>
      <c r="M36" s="131">
        <f t="shared" ref="M36:M67" si="15">1-AH36/10</f>
        <v>0.20599999999999996</v>
      </c>
      <c r="N36" s="131">
        <f t="shared" ref="N36:N67" si="16">4*M36/3</f>
        <v>0.27466666666666661</v>
      </c>
      <c r="O36" s="131">
        <v>0.03</v>
      </c>
      <c r="P36" s="131">
        <v>0.2</v>
      </c>
      <c r="Q36" s="131">
        <f t="shared" ref="Q36:Q67" si="17">(O36/16.75+P36)/2</f>
        <v>0.10089552238805971</v>
      </c>
      <c r="R36" s="188">
        <f t="shared" si="8"/>
        <v>6.1162888919314815</v>
      </c>
      <c r="S36" s="188">
        <f t="shared" ref="S36:S67" si="18">2.63/R36</f>
        <v>0.42999930946189563</v>
      </c>
      <c r="T36" s="188">
        <f t="shared" ref="T36:T67" si="19">1-(H36-1)/3</f>
        <v>1</v>
      </c>
      <c r="U36" s="188"/>
      <c r="V36" s="188">
        <v>0.46300000000000002</v>
      </c>
      <c r="W36" s="188">
        <f>V36</f>
        <v>0.46300000000000002</v>
      </c>
      <c r="X36" s="188"/>
      <c r="Y36" s="188">
        <v>0.44</v>
      </c>
      <c r="Z36" s="188">
        <f>(Y36+N36)/2</f>
        <v>0.35733333333333328</v>
      </c>
      <c r="AA36" s="188">
        <f>-10/123</f>
        <v>-8.1300813008130079E-2</v>
      </c>
      <c r="AB36" s="188">
        <f t="shared" si="13"/>
        <v>-8.1300813008130079E-2</v>
      </c>
      <c r="AC36" s="188">
        <f t="shared" si="9"/>
        <v>2.0939087200836983</v>
      </c>
      <c r="AD36" s="188">
        <v>30</v>
      </c>
      <c r="AE36" s="188">
        <v>21</v>
      </c>
      <c r="AF36" s="188">
        <v>0.49199999999999999</v>
      </c>
      <c r="AG36" s="188"/>
      <c r="AH36" s="188">
        <v>7.94</v>
      </c>
      <c r="AI36" s="188">
        <f t="shared" ref="AI36:AI67" si="20">AC36/R36</f>
        <v>0.3423495451377308</v>
      </c>
    </row>
    <row r="37" spans="4:35" ht="14">
      <c r="D37" s="164" t="s">
        <v>37</v>
      </c>
      <c r="E37" s="181">
        <v>5</v>
      </c>
      <c r="F37" s="181">
        <v>5</v>
      </c>
      <c r="G37" s="182" t="s">
        <v>3</v>
      </c>
      <c r="H37" s="131">
        <f t="shared" si="14"/>
        <v>2.333333333333333</v>
      </c>
      <c r="I37" s="131">
        <v>33</v>
      </c>
      <c r="J37" s="131">
        <f t="shared" si="1"/>
        <v>1.5366</v>
      </c>
      <c r="K37" s="131">
        <f t="shared" si="12"/>
        <v>1.1433</v>
      </c>
      <c r="L37" s="131">
        <v>0.75</v>
      </c>
      <c r="M37" s="131">
        <f t="shared" si="15"/>
        <v>0.81800000000000006</v>
      </c>
      <c r="N37" s="131">
        <f t="shared" si="16"/>
        <v>1.0906666666666667</v>
      </c>
      <c r="O37" s="131">
        <v>0.05</v>
      </c>
      <c r="P37" s="131">
        <v>0.2</v>
      </c>
      <c r="Q37" s="131">
        <f t="shared" si="17"/>
        <v>0.10149253731343284</v>
      </c>
      <c r="R37" s="188">
        <f t="shared" ref="R37:R68" si="21">EXP(H37*(K37+N37+Q37))</f>
        <v>232.61967162825798</v>
      </c>
      <c r="S37" s="188">
        <f t="shared" si="18"/>
        <v>1.130600856578853E-2</v>
      </c>
      <c r="T37" s="188">
        <f t="shared" si="19"/>
        <v>0.55555555555555558</v>
      </c>
      <c r="U37" s="188">
        <v>61.3</v>
      </c>
      <c r="V37" s="188">
        <v>0.68500000000000005</v>
      </c>
      <c r="W37" s="188">
        <f>(U37/100+V37)/2</f>
        <v>0.64900000000000002</v>
      </c>
      <c r="X37" s="188"/>
      <c r="Y37" s="188">
        <v>0.59</v>
      </c>
      <c r="Z37" s="188">
        <f>(Y37+N37)/2</f>
        <v>0.84033333333333338</v>
      </c>
      <c r="AA37" s="188">
        <f>-12/115</f>
        <v>-0.10434782608695652</v>
      </c>
      <c r="AB37" s="188">
        <f t="shared" si="13"/>
        <v>-0.10434782608695652</v>
      </c>
      <c r="AC37" s="188">
        <f t="shared" ref="AC37:AC68" si="22">EXP(T37*(AB37+Z37+W37))</f>
        <v>2.1585493371852125</v>
      </c>
      <c r="AD37" s="188" t="s">
        <v>223</v>
      </c>
      <c r="AE37" s="188">
        <v>8</v>
      </c>
      <c r="AF37" s="190">
        <v>4.4870000000000001</v>
      </c>
      <c r="AG37" s="188"/>
      <c r="AH37" s="188">
        <v>1.82</v>
      </c>
      <c r="AI37" s="188">
        <f t="shared" si="20"/>
        <v>9.2793069566133712E-3</v>
      </c>
    </row>
    <row r="38" spans="4:35" ht="14">
      <c r="D38" s="164" t="s">
        <v>38</v>
      </c>
      <c r="E38" s="181">
        <v>7</v>
      </c>
      <c r="F38" s="181">
        <v>6</v>
      </c>
      <c r="G38" s="182" t="s">
        <v>4</v>
      </c>
      <c r="H38" s="131">
        <f t="shared" si="14"/>
        <v>2.833333333333333</v>
      </c>
      <c r="I38" s="131">
        <v>30.8</v>
      </c>
      <c r="J38" s="131">
        <f t="shared" si="1"/>
        <v>1.3674933333333334</v>
      </c>
      <c r="K38" s="131">
        <f t="shared" si="12"/>
        <v>1.0587466666666667</v>
      </c>
      <c r="L38" s="131">
        <v>0.75</v>
      </c>
      <c r="M38" s="131">
        <f t="shared" si="15"/>
        <v>0.84799999999999998</v>
      </c>
      <c r="N38" s="131">
        <f t="shared" si="16"/>
        <v>1.1306666666666667</v>
      </c>
      <c r="O38" s="131">
        <v>0.06</v>
      </c>
      <c r="P38" s="131">
        <v>0.2</v>
      </c>
      <c r="Q38" s="131">
        <f t="shared" si="17"/>
        <v>0.1017910447761194</v>
      </c>
      <c r="R38" s="188">
        <f t="shared" si="21"/>
        <v>659.67397650142107</v>
      </c>
      <c r="S38" s="188">
        <f t="shared" si="18"/>
        <v>3.9868178731988137E-3</v>
      </c>
      <c r="T38" s="188">
        <f t="shared" si="19"/>
        <v>0.38888888888888895</v>
      </c>
      <c r="U38" s="188"/>
      <c r="V38" s="188">
        <v>0.70499999999999996</v>
      </c>
      <c r="W38" s="188">
        <f>V38</f>
        <v>0.70499999999999996</v>
      </c>
      <c r="X38" s="188"/>
      <c r="Y38" s="188">
        <v>0.75</v>
      </c>
      <c r="Z38" s="188">
        <f>(Y38+N38)/2</f>
        <v>0.94033333333333335</v>
      </c>
      <c r="AA38" s="188">
        <f>-10/103</f>
        <v>-9.7087378640776698E-2</v>
      </c>
      <c r="AB38" s="188">
        <f t="shared" si="13"/>
        <v>-9.7087378640776698E-2</v>
      </c>
      <c r="AC38" s="188">
        <f t="shared" si="22"/>
        <v>1.8259413258552211</v>
      </c>
      <c r="AD38" s="188">
        <v>80</v>
      </c>
      <c r="AE38" s="188"/>
      <c r="AF38" s="188">
        <v>11.427</v>
      </c>
      <c r="AG38" s="188"/>
      <c r="AH38" s="188">
        <v>1.52</v>
      </c>
      <c r="AI38" s="188">
        <f t="shared" si="20"/>
        <v>2.7679450621033975E-3</v>
      </c>
    </row>
    <row r="39" spans="4:35" ht="14">
      <c r="D39" s="164" t="s">
        <v>39</v>
      </c>
      <c r="E39" s="181">
        <v>1</v>
      </c>
      <c r="F39" s="181">
        <v>1</v>
      </c>
      <c r="G39" s="182" t="s">
        <v>8</v>
      </c>
      <c r="H39" s="131">
        <f t="shared" si="14"/>
        <v>1</v>
      </c>
      <c r="I39" s="131">
        <v>42.5</v>
      </c>
      <c r="J39" s="131">
        <f t="shared" si="1"/>
        <v>2.266833333333333</v>
      </c>
      <c r="K39" s="131">
        <f t="shared" si="12"/>
        <v>1.5084166666666665</v>
      </c>
      <c r="L39" s="131">
        <v>0.75</v>
      </c>
      <c r="M39" s="131">
        <f t="shared" si="15"/>
        <v>0.23299999999999998</v>
      </c>
      <c r="N39" s="131">
        <f t="shared" si="16"/>
        <v>0.31066666666666665</v>
      </c>
      <c r="O39" s="131">
        <v>0.37</v>
      </c>
      <c r="P39" s="131">
        <v>0.4</v>
      </c>
      <c r="Q39" s="131">
        <f t="shared" si="17"/>
        <v>0.211044776119403</v>
      </c>
      <c r="R39" s="188">
        <f t="shared" si="21"/>
        <v>7.6150618577004661</v>
      </c>
      <c r="S39" s="188">
        <f t="shared" si="18"/>
        <v>0.34536817285870158</v>
      </c>
      <c r="T39" s="188">
        <f t="shared" si="19"/>
        <v>1</v>
      </c>
      <c r="U39" s="188">
        <v>52.1</v>
      </c>
      <c r="V39" s="188">
        <f>1-0.783</f>
        <v>0.21699999999999997</v>
      </c>
      <c r="W39" s="188">
        <f>(U39/100+V39)/2</f>
        <v>0.36899999999999999</v>
      </c>
      <c r="X39" s="188">
        <v>9.4E-2</v>
      </c>
      <c r="Y39" s="188">
        <v>0.35</v>
      </c>
      <c r="Z39" s="188">
        <f>(Y39+X39+M39)/3</f>
        <v>0.22566666666666665</v>
      </c>
      <c r="AA39" s="188">
        <f>44/117</f>
        <v>0.37606837606837606</v>
      </c>
      <c r="AB39" s="188">
        <f t="shared" si="13"/>
        <v>0.37606837606837606</v>
      </c>
      <c r="AC39" s="188">
        <f t="shared" si="22"/>
        <v>2.6398841740637162</v>
      </c>
      <c r="AD39" s="188">
        <v>11.5</v>
      </c>
      <c r="AE39" s="188">
        <v>6.9</v>
      </c>
      <c r="AF39" s="188">
        <v>17.2</v>
      </c>
      <c r="AG39" s="188"/>
      <c r="AH39" s="188">
        <v>7.67</v>
      </c>
      <c r="AI39" s="188">
        <f t="shared" si="20"/>
        <v>0.3466661497167256</v>
      </c>
    </row>
    <row r="40" spans="4:35" ht="14">
      <c r="D40" s="164" t="s">
        <v>40</v>
      </c>
      <c r="E40" s="181">
        <v>7</v>
      </c>
      <c r="F40" s="181">
        <v>6</v>
      </c>
      <c r="G40" s="182" t="s">
        <v>4</v>
      </c>
      <c r="H40" s="131">
        <f t="shared" si="14"/>
        <v>2.833333333333333</v>
      </c>
      <c r="I40" s="131">
        <v>15</v>
      </c>
      <c r="J40" s="131">
        <f>41.4/15-1</f>
        <v>1.7599999999999998</v>
      </c>
      <c r="K40" s="131">
        <f t="shared" si="12"/>
        <v>1.38</v>
      </c>
      <c r="L40" s="131">
        <v>1</v>
      </c>
      <c r="M40" s="131">
        <f t="shared" si="15"/>
        <v>0.68599999999999994</v>
      </c>
      <c r="N40" s="131">
        <f t="shared" si="16"/>
        <v>0.91466666666666663</v>
      </c>
      <c r="O40" s="131">
        <v>3.81</v>
      </c>
      <c r="P40" s="131">
        <v>0.8</v>
      </c>
      <c r="Q40" s="131">
        <f t="shared" si="17"/>
        <v>0.51373134328358216</v>
      </c>
      <c r="R40" s="188">
        <f t="shared" si="21"/>
        <v>2855.858264234254</v>
      </c>
      <c r="S40" s="188">
        <f t="shared" si="18"/>
        <v>9.2091404988026821E-4</v>
      </c>
      <c r="T40" s="188">
        <f t="shared" si="19"/>
        <v>0.38888888888888895</v>
      </c>
      <c r="U40" s="188">
        <v>48</v>
      </c>
      <c r="V40" s="188">
        <v>0.33700000000000002</v>
      </c>
      <c r="W40" s="188">
        <f>(U40/100+V40)/2</f>
        <v>0.40849999999999997</v>
      </c>
      <c r="X40" s="188">
        <v>0.435</v>
      </c>
      <c r="Y40" s="188">
        <v>0.08</v>
      </c>
      <c r="Z40" s="188">
        <f>(Y40+X40+M40)/3</f>
        <v>0.40033333333333337</v>
      </c>
      <c r="AA40" s="188">
        <f>-12/170</f>
        <v>-7.0588235294117646E-2</v>
      </c>
      <c r="AB40" s="188">
        <f t="shared" si="13"/>
        <v>-7.0588235294117646E-2</v>
      </c>
      <c r="AC40" s="188">
        <f t="shared" si="22"/>
        <v>1.3325512207470909</v>
      </c>
      <c r="AD40" s="188">
        <v>13.4</v>
      </c>
      <c r="AE40" s="188">
        <v>6.5</v>
      </c>
      <c r="AF40" s="188">
        <v>1342</v>
      </c>
      <c r="AG40" s="188"/>
      <c r="AH40" s="188">
        <v>3.14</v>
      </c>
      <c r="AI40" s="188">
        <f t="shared" si="20"/>
        <v>4.6660271535022766E-4</v>
      </c>
    </row>
    <row r="41" spans="4:35" ht="14">
      <c r="D41" s="164" t="s">
        <v>41</v>
      </c>
      <c r="E41" s="181">
        <v>3</v>
      </c>
      <c r="F41" s="181">
        <v>4</v>
      </c>
      <c r="G41" s="182" t="s">
        <v>3</v>
      </c>
      <c r="H41" s="131">
        <f t="shared" si="14"/>
        <v>1.8333333333333335</v>
      </c>
      <c r="I41" s="131">
        <v>45</v>
      </c>
      <c r="J41" s="131">
        <f t="shared" ref="J41:J80" si="23">1.153*I41/15-1</f>
        <v>2.4590000000000001</v>
      </c>
      <c r="K41" s="131">
        <f t="shared" si="12"/>
        <v>1.6045</v>
      </c>
      <c r="L41" s="131">
        <v>0.75</v>
      </c>
      <c r="M41" s="131">
        <f t="shared" si="15"/>
        <v>0.34499999999999997</v>
      </c>
      <c r="N41" s="131">
        <f t="shared" si="16"/>
        <v>0.45999999999999996</v>
      </c>
      <c r="O41" s="131">
        <v>0.34</v>
      </c>
      <c r="P41" s="131">
        <v>0.4</v>
      </c>
      <c r="Q41" s="131">
        <f t="shared" si="17"/>
        <v>0.2101492537313433</v>
      </c>
      <c r="R41" s="188">
        <f t="shared" si="21"/>
        <v>64.727768533210437</v>
      </c>
      <c r="S41" s="188">
        <f t="shared" si="18"/>
        <v>4.0631711236122761E-2</v>
      </c>
      <c r="T41" s="188">
        <f t="shared" si="19"/>
        <v>0.7222222222222221</v>
      </c>
      <c r="U41" s="188">
        <v>56</v>
      </c>
      <c r="V41" s="188">
        <v>0.311</v>
      </c>
      <c r="W41" s="188">
        <f>(U41/100+V41)/2</f>
        <v>0.4355</v>
      </c>
      <c r="X41" s="188">
        <v>0.45600000000000002</v>
      </c>
      <c r="Y41" s="188">
        <v>0.43</v>
      </c>
      <c r="Z41" s="188">
        <f>(Y41+X41+M41)/3</f>
        <v>0.41033333333333327</v>
      </c>
      <c r="AA41" s="188">
        <f>18/125</f>
        <v>0.14399999999999999</v>
      </c>
      <c r="AB41" s="188">
        <f t="shared" si="13"/>
        <v>0.14399999999999999</v>
      </c>
      <c r="AC41" s="188">
        <f t="shared" si="22"/>
        <v>2.0439406375590496</v>
      </c>
      <c r="AD41" s="188">
        <v>37.200000000000003</v>
      </c>
      <c r="AE41" s="188">
        <v>10.8</v>
      </c>
      <c r="AF41" s="188">
        <v>46</v>
      </c>
      <c r="AG41" s="188"/>
      <c r="AH41" s="188">
        <v>6.55</v>
      </c>
      <c r="AI41" s="188">
        <f t="shared" si="20"/>
        <v>3.1577492687861586E-2</v>
      </c>
    </row>
    <row r="42" spans="4:35" ht="14">
      <c r="D42" s="164" t="s">
        <v>42</v>
      </c>
      <c r="E42" s="181">
        <v>3</v>
      </c>
      <c r="F42" s="181">
        <v>4</v>
      </c>
      <c r="G42" s="182" t="s">
        <v>3</v>
      </c>
      <c r="H42" s="131">
        <f t="shared" si="14"/>
        <v>1.8333333333333335</v>
      </c>
      <c r="I42" s="131">
        <v>55.2</v>
      </c>
      <c r="J42" s="131">
        <f t="shared" si="23"/>
        <v>3.2430399999999997</v>
      </c>
      <c r="K42" s="131">
        <f t="shared" si="12"/>
        <v>1.9565199999999998</v>
      </c>
      <c r="L42" s="131">
        <v>0.67</v>
      </c>
      <c r="M42" s="131">
        <f t="shared" si="15"/>
        <v>0.65900000000000003</v>
      </c>
      <c r="N42" s="131">
        <f t="shared" si="16"/>
        <v>0.87866666666666671</v>
      </c>
      <c r="O42" s="131">
        <v>0.03</v>
      </c>
      <c r="P42" s="131">
        <v>0.2</v>
      </c>
      <c r="Q42" s="131">
        <f t="shared" si="17"/>
        <v>0.10089552238805971</v>
      </c>
      <c r="R42" s="188">
        <f t="shared" si="21"/>
        <v>217.63456450509068</v>
      </c>
      <c r="S42" s="188">
        <f t="shared" si="18"/>
        <v>1.2084477509262927E-2</v>
      </c>
      <c r="T42" s="188">
        <f t="shared" si="19"/>
        <v>0.7222222222222221</v>
      </c>
      <c r="U42" s="188"/>
      <c r="V42" s="188">
        <v>0.57199999999999995</v>
      </c>
      <c r="W42" s="188">
        <f>V42</f>
        <v>0.57199999999999995</v>
      </c>
      <c r="X42" s="188"/>
      <c r="Y42" s="188">
        <v>0.78</v>
      </c>
      <c r="Z42" s="188">
        <f>(Y42+N42)/2</f>
        <v>0.82933333333333337</v>
      </c>
      <c r="AA42" s="188" t="s">
        <v>225</v>
      </c>
      <c r="AB42" s="188">
        <v>0.1</v>
      </c>
      <c r="AC42" s="188">
        <f t="shared" si="22"/>
        <v>2.9573579825619802</v>
      </c>
      <c r="AD42" s="188">
        <v>60</v>
      </c>
      <c r="AE42" s="188">
        <v>20</v>
      </c>
      <c r="AF42" s="188">
        <v>0.66900000000000004</v>
      </c>
      <c r="AG42" s="188"/>
      <c r="AH42" s="188">
        <v>3.41</v>
      </c>
      <c r="AI42" s="188">
        <f t="shared" si="20"/>
        <v>1.3588641074946553E-2</v>
      </c>
    </row>
    <row r="43" spans="4:35" ht="14">
      <c r="D43" s="164" t="s">
        <v>43</v>
      </c>
      <c r="E43" s="181">
        <v>6</v>
      </c>
      <c r="F43" s="181">
        <v>5</v>
      </c>
      <c r="G43" s="182" t="s">
        <v>4</v>
      </c>
      <c r="H43" s="131">
        <f t="shared" si="14"/>
        <v>2.5</v>
      </c>
      <c r="I43" s="131">
        <v>37.1</v>
      </c>
      <c r="J43" s="131">
        <f t="shared" si="23"/>
        <v>1.8517533333333334</v>
      </c>
      <c r="K43" s="131">
        <f t="shared" si="12"/>
        <v>1.3008766666666667</v>
      </c>
      <c r="L43" s="131">
        <v>0.75</v>
      </c>
      <c r="M43" s="131">
        <f t="shared" si="15"/>
        <v>0.71099999999999997</v>
      </c>
      <c r="N43" s="131">
        <f t="shared" si="16"/>
        <v>0.94799999999999995</v>
      </c>
      <c r="O43" s="131">
        <v>0.06</v>
      </c>
      <c r="P43" s="131">
        <v>0.2</v>
      </c>
      <c r="Q43" s="131">
        <f t="shared" si="17"/>
        <v>0.1017910447761194</v>
      </c>
      <c r="R43" s="188">
        <f t="shared" si="21"/>
        <v>356.61946132627634</v>
      </c>
      <c r="S43" s="188">
        <f t="shared" si="18"/>
        <v>7.3748078420032568E-3</v>
      </c>
      <c r="T43" s="188">
        <f t="shared" si="19"/>
        <v>0.5</v>
      </c>
      <c r="U43" s="188"/>
      <c r="V43" s="188">
        <v>0.50600000000000001</v>
      </c>
      <c r="W43" s="188">
        <f>V43</f>
        <v>0.50600000000000001</v>
      </c>
      <c r="X43" s="188"/>
      <c r="Y43" s="188">
        <v>0.5</v>
      </c>
      <c r="Z43" s="188">
        <f>(Y43+N43)/2</f>
        <v>0.72399999999999998</v>
      </c>
      <c r="AA43" s="188" t="s">
        <v>225</v>
      </c>
      <c r="AB43" s="188">
        <v>0.1</v>
      </c>
      <c r="AC43" s="188">
        <f t="shared" si="22"/>
        <v>1.9444905213368311</v>
      </c>
      <c r="AD43" s="188" t="s">
        <v>223</v>
      </c>
      <c r="AE43" s="188"/>
      <c r="AF43" s="188"/>
      <c r="AG43" s="188"/>
      <c r="AH43" s="188">
        <v>2.89</v>
      </c>
      <c r="AI43" s="188">
        <f t="shared" si="20"/>
        <v>5.452564237815918E-3</v>
      </c>
    </row>
    <row r="44" spans="4:35" ht="14">
      <c r="D44" s="164" t="s">
        <v>44</v>
      </c>
      <c r="E44" s="181">
        <v>6</v>
      </c>
      <c r="F44" s="181">
        <v>6</v>
      </c>
      <c r="G44" s="182" t="s">
        <v>4</v>
      </c>
      <c r="H44" s="131">
        <f t="shared" si="14"/>
        <v>2.666666666666667</v>
      </c>
      <c r="I44" s="131">
        <v>34.700000000000003</v>
      </c>
      <c r="J44" s="131">
        <f t="shared" si="23"/>
        <v>1.6672733333333336</v>
      </c>
      <c r="K44" s="131">
        <f t="shared" si="12"/>
        <v>1.2086366666666668</v>
      </c>
      <c r="L44" s="131">
        <v>0.75</v>
      </c>
      <c r="M44" s="131">
        <f t="shared" si="15"/>
        <v>0.78500000000000003</v>
      </c>
      <c r="N44" s="131">
        <f t="shared" si="16"/>
        <v>1.0466666666666666</v>
      </c>
      <c r="O44" s="131">
        <v>0.24</v>
      </c>
      <c r="P44" s="131">
        <v>0.2</v>
      </c>
      <c r="Q44" s="131">
        <f t="shared" si="17"/>
        <v>0.10716417910447762</v>
      </c>
      <c r="R44" s="188">
        <f t="shared" si="21"/>
        <v>544.52473399935093</v>
      </c>
      <c r="S44" s="188">
        <f t="shared" si="18"/>
        <v>4.8298999765970865E-3</v>
      </c>
      <c r="T44" s="188">
        <f t="shared" si="19"/>
        <v>0.44444444444444431</v>
      </c>
      <c r="U44" s="188"/>
      <c r="V44" s="188">
        <v>0.76100000000000001</v>
      </c>
      <c r="W44" s="188">
        <f>V44</f>
        <v>0.76100000000000001</v>
      </c>
      <c r="X44" s="188"/>
      <c r="Y44" s="188">
        <v>0.35</v>
      </c>
      <c r="Z44" s="188">
        <f>(Y44+N44)/2</f>
        <v>0.69833333333333325</v>
      </c>
      <c r="AA44" s="188">
        <f>12/131</f>
        <v>9.1603053435114504E-2</v>
      </c>
      <c r="AB44" s="188">
        <f t="shared" ref="AB44:AB54" si="24">AA44</f>
        <v>9.1603053435114504E-2</v>
      </c>
      <c r="AC44" s="188">
        <f t="shared" si="22"/>
        <v>1.9923305034489232</v>
      </c>
      <c r="AD44" s="188">
        <v>71</v>
      </c>
      <c r="AE44" s="188"/>
      <c r="AF44" s="188"/>
      <c r="AG44" s="188"/>
      <c r="AH44" s="188">
        <v>2.15</v>
      </c>
      <c r="AI44" s="188">
        <f t="shared" si="20"/>
        <v>3.6588429855443408E-3</v>
      </c>
    </row>
    <row r="45" spans="4:35" ht="14">
      <c r="D45" s="164" t="s">
        <v>45</v>
      </c>
      <c r="E45" s="181">
        <v>1</v>
      </c>
      <c r="F45" s="181">
        <v>1</v>
      </c>
      <c r="G45" s="182" t="s">
        <v>8</v>
      </c>
      <c r="H45" s="131">
        <f t="shared" si="14"/>
        <v>1</v>
      </c>
      <c r="I45" s="131">
        <v>39.4</v>
      </c>
      <c r="J45" s="131">
        <f t="shared" si="23"/>
        <v>2.0285466666666663</v>
      </c>
      <c r="K45" s="131">
        <f t="shared" si="12"/>
        <v>1.3492733333333331</v>
      </c>
      <c r="L45" s="131">
        <v>0.67</v>
      </c>
      <c r="M45" s="131">
        <f t="shared" si="15"/>
        <v>0.19600000000000006</v>
      </c>
      <c r="N45" s="131">
        <f t="shared" si="16"/>
        <v>0.26133333333333342</v>
      </c>
      <c r="O45" s="131">
        <v>0.09</v>
      </c>
      <c r="P45" s="131">
        <v>0.2</v>
      </c>
      <c r="Q45" s="131">
        <f t="shared" si="17"/>
        <v>0.10268656716417911</v>
      </c>
      <c r="R45" s="188">
        <f t="shared" si="21"/>
        <v>5.5471996554202816</v>
      </c>
      <c r="S45" s="188">
        <f t="shared" si="18"/>
        <v>0.47411309550219155</v>
      </c>
      <c r="T45" s="188">
        <f t="shared" si="19"/>
        <v>1</v>
      </c>
      <c r="U45" s="188">
        <v>50.3</v>
      </c>
      <c r="V45" s="188">
        <f>1-0.725</f>
        <v>0.27500000000000002</v>
      </c>
      <c r="W45" s="188">
        <f>(U45/100+V45)/2</f>
        <v>0.38900000000000001</v>
      </c>
      <c r="X45" s="188">
        <v>0.44500000000000001</v>
      </c>
      <c r="Y45" s="188">
        <v>0.6</v>
      </c>
      <c r="Z45" s="188">
        <f t="shared" ref="Z45:Z51" si="25">(Y45+X45+M45)/3</f>
        <v>0.41366666666666668</v>
      </c>
      <c r="AA45" s="188">
        <f>0</f>
        <v>0</v>
      </c>
      <c r="AB45" s="188">
        <f t="shared" si="24"/>
        <v>0</v>
      </c>
      <c r="AC45" s="188">
        <f t="shared" si="22"/>
        <v>2.2314836243746932</v>
      </c>
      <c r="AD45" s="188">
        <v>24.2</v>
      </c>
      <c r="AE45" s="188">
        <v>6.5</v>
      </c>
      <c r="AF45" s="188">
        <v>4.3</v>
      </c>
      <c r="AG45" s="188"/>
      <c r="AH45" s="188">
        <v>8.0399999999999991</v>
      </c>
      <c r="AI45" s="188">
        <f t="shared" si="20"/>
        <v>0.40227209456834045</v>
      </c>
    </row>
    <row r="46" spans="4:35" ht="14">
      <c r="D46" s="165" t="s">
        <v>196</v>
      </c>
      <c r="E46" s="181">
        <v>7</v>
      </c>
      <c r="F46" s="181">
        <v>6</v>
      </c>
      <c r="G46" s="182" t="s">
        <v>4</v>
      </c>
      <c r="H46" s="131">
        <f t="shared" si="14"/>
        <v>2.833333333333333</v>
      </c>
      <c r="I46" s="131">
        <v>31.8</v>
      </c>
      <c r="J46" s="131">
        <f t="shared" si="23"/>
        <v>1.4443600000000001</v>
      </c>
      <c r="K46" s="131">
        <f t="shared" si="12"/>
        <v>1.09718</v>
      </c>
      <c r="L46" s="131">
        <v>0.75</v>
      </c>
      <c r="M46" s="131">
        <f t="shared" si="15"/>
        <v>0.69799999999999995</v>
      </c>
      <c r="N46" s="131">
        <f t="shared" si="16"/>
        <v>0.93066666666666664</v>
      </c>
      <c r="O46" s="131">
        <v>0.16</v>
      </c>
      <c r="P46" s="131">
        <v>0.2</v>
      </c>
      <c r="Q46" s="131">
        <f t="shared" si="17"/>
        <v>0.10477611940298508</v>
      </c>
      <c r="R46" s="188">
        <f t="shared" si="21"/>
        <v>420.91513222503443</v>
      </c>
      <c r="S46" s="188">
        <f t="shared" si="18"/>
        <v>6.2482904477616152E-3</v>
      </c>
      <c r="T46" s="188">
        <f t="shared" si="19"/>
        <v>0.38888888888888895</v>
      </c>
      <c r="U46" s="188">
        <v>41.5</v>
      </c>
      <c r="V46" s="188">
        <v>0.60299999999999998</v>
      </c>
      <c r="W46" s="188">
        <f>(U46/100+V46)/2</f>
        <v>0.50900000000000001</v>
      </c>
      <c r="X46" s="188">
        <v>0.65800000000000003</v>
      </c>
      <c r="Y46" s="188">
        <v>1.58</v>
      </c>
      <c r="Z46" s="188">
        <f t="shared" si="25"/>
        <v>0.97866666666666668</v>
      </c>
      <c r="AA46" s="188">
        <f>29/120</f>
        <v>0.24166666666666667</v>
      </c>
      <c r="AB46" s="188">
        <f t="shared" si="24"/>
        <v>0.24166666666666667</v>
      </c>
      <c r="AC46" s="188">
        <f t="shared" si="22"/>
        <v>1.9591653065245767</v>
      </c>
      <c r="AD46" s="188">
        <v>42</v>
      </c>
      <c r="AE46" s="188"/>
      <c r="AF46" s="188">
        <v>21</v>
      </c>
      <c r="AG46" s="188"/>
      <c r="AH46" s="188">
        <v>3.02</v>
      </c>
      <c r="AI46" s="188">
        <f t="shared" si="20"/>
        <v>4.6545375932864905E-3</v>
      </c>
    </row>
    <row r="47" spans="4:35" ht="14">
      <c r="D47" s="164" t="s">
        <v>46</v>
      </c>
      <c r="E47" s="181">
        <v>1</v>
      </c>
      <c r="F47" s="181">
        <v>2</v>
      </c>
      <c r="G47" s="182" t="s">
        <v>8</v>
      </c>
      <c r="H47" s="131">
        <f t="shared" si="14"/>
        <v>1.1666666666666667</v>
      </c>
      <c r="I47" s="131">
        <v>3.3</v>
      </c>
      <c r="J47" s="131">
        <f t="shared" si="23"/>
        <v>-0.74634</v>
      </c>
      <c r="K47" s="131">
        <v>0.75</v>
      </c>
      <c r="L47" s="131">
        <v>0.75</v>
      </c>
      <c r="M47" s="131">
        <f t="shared" si="15"/>
        <v>0.31900000000000006</v>
      </c>
      <c r="N47" s="131">
        <f t="shared" si="16"/>
        <v>0.4253333333333334</v>
      </c>
      <c r="O47" s="131">
        <v>0.17</v>
      </c>
      <c r="P47" s="131">
        <v>0.2</v>
      </c>
      <c r="Q47" s="131">
        <f t="shared" si="17"/>
        <v>0.10507462686567165</v>
      </c>
      <c r="R47" s="188">
        <f t="shared" si="21"/>
        <v>4.4540299223560673</v>
      </c>
      <c r="S47" s="188">
        <f t="shared" si="18"/>
        <v>0.59047650012391417</v>
      </c>
      <c r="T47" s="188">
        <f t="shared" si="19"/>
        <v>0.94444444444444442</v>
      </c>
      <c r="U47" s="188">
        <v>27</v>
      </c>
      <c r="V47" s="188">
        <f>1-0.767</f>
        <v>0.23299999999999998</v>
      </c>
      <c r="W47" s="188">
        <f>(U47/100+V47)/2</f>
        <v>0.2515</v>
      </c>
      <c r="X47" s="188">
        <v>0.439</v>
      </c>
      <c r="Y47" s="188">
        <v>0.93</v>
      </c>
      <c r="Z47" s="188">
        <f t="shared" si="25"/>
        <v>0.56266666666666676</v>
      </c>
      <c r="AA47" s="188">
        <f>-6/105</f>
        <v>-5.7142857142857141E-2</v>
      </c>
      <c r="AB47" s="188">
        <f t="shared" si="24"/>
        <v>-5.7142857142857141E-2</v>
      </c>
      <c r="AC47" s="188">
        <f t="shared" si="22"/>
        <v>2.0441190846103012</v>
      </c>
      <c r="AD47" s="188">
        <v>18</v>
      </c>
      <c r="AE47" s="188">
        <v>17.899999999999999</v>
      </c>
      <c r="AF47" s="188">
        <v>4.29</v>
      </c>
      <c r="AG47" s="188"/>
      <c r="AH47" s="188">
        <v>6.81</v>
      </c>
      <c r="AI47" s="188">
        <f t="shared" si="20"/>
        <v>0.45893698970235358</v>
      </c>
    </row>
    <row r="48" spans="4:35" ht="14">
      <c r="D48" s="164" t="s">
        <v>47</v>
      </c>
      <c r="E48" s="181">
        <v>7</v>
      </c>
      <c r="F48" s="181">
        <v>6</v>
      </c>
      <c r="G48" s="182" t="s">
        <v>4</v>
      </c>
      <c r="H48" s="131">
        <f t="shared" si="14"/>
        <v>2.833333333333333</v>
      </c>
      <c r="I48" s="131"/>
      <c r="J48" s="131">
        <f t="shared" si="23"/>
        <v>-1</v>
      </c>
      <c r="K48" s="131">
        <v>1</v>
      </c>
      <c r="L48" s="131">
        <v>1</v>
      </c>
      <c r="M48" s="131">
        <f t="shared" si="15"/>
        <v>0.64800000000000002</v>
      </c>
      <c r="N48" s="131">
        <f t="shared" si="16"/>
        <v>0.86399999999999999</v>
      </c>
      <c r="O48" s="131">
        <v>0</v>
      </c>
      <c r="P48" s="131">
        <v>0.2</v>
      </c>
      <c r="Q48" s="131">
        <f t="shared" si="17"/>
        <v>0.1</v>
      </c>
      <c r="R48" s="188">
        <f t="shared" si="21"/>
        <v>261.03817648054223</v>
      </c>
      <c r="S48" s="188">
        <f t="shared" si="18"/>
        <v>1.0075154659211466E-2</v>
      </c>
      <c r="T48" s="188">
        <f t="shared" si="19"/>
        <v>0.38888888888888895</v>
      </c>
      <c r="U48" s="188"/>
      <c r="V48" s="189">
        <v>0.79</v>
      </c>
      <c r="W48" s="188">
        <f>V48</f>
        <v>0.79</v>
      </c>
      <c r="X48" s="188">
        <v>0.34899999999999998</v>
      </c>
      <c r="Y48" s="188">
        <v>0.85</v>
      </c>
      <c r="Z48" s="188">
        <f t="shared" si="25"/>
        <v>0.6156666666666667</v>
      </c>
      <c r="AA48" s="188">
        <f>8/125</f>
        <v>6.4000000000000001E-2</v>
      </c>
      <c r="AB48" s="188">
        <f t="shared" si="24"/>
        <v>6.4000000000000001E-2</v>
      </c>
      <c r="AC48" s="188">
        <f t="shared" si="22"/>
        <v>1.7709870332040294</v>
      </c>
      <c r="AD48" s="188" t="s">
        <v>223</v>
      </c>
      <c r="AE48" s="188">
        <v>3.8</v>
      </c>
      <c r="AF48" s="188">
        <v>11.24</v>
      </c>
      <c r="AG48" s="188"/>
      <c r="AH48" s="188">
        <v>3.52</v>
      </c>
      <c r="AI48" s="188">
        <f t="shared" si="20"/>
        <v>6.7843985775622312E-3</v>
      </c>
    </row>
    <row r="49" spans="4:35" ht="14">
      <c r="D49" s="164" t="s">
        <v>199</v>
      </c>
      <c r="E49" s="181">
        <v>1</v>
      </c>
      <c r="F49" s="181">
        <v>1</v>
      </c>
      <c r="G49" s="182" t="s">
        <v>8</v>
      </c>
      <c r="H49" s="131">
        <f t="shared" si="14"/>
        <v>1</v>
      </c>
      <c r="I49" s="131"/>
      <c r="J49" s="131">
        <f t="shared" si="23"/>
        <v>-1</v>
      </c>
      <c r="K49" s="131">
        <v>0.67</v>
      </c>
      <c r="L49" s="131">
        <v>0.67</v>
      </c>
      <c r="M49" s="131">
        <f t="shared" si="15"/>
        <v>0.27100000000000002</v>
      </c>
      <c r="N49" s="131">
        <f t="shared" si="16"/>
        <v>0.36133333333333334</v>
      </c>
      <c r="O49" s="131">
        <v>0.09</v>
      </c>
      <c r="P49" s="131">
        <v>0.2</v>
      </c>
      <c r="Q49" s="131">
        <f t="shared" si="17"/>
        <v>0.10268656716417911</v>
      </c>
      <c r="R49" s="188">
        <f t="shared" si="21"/>
        <v>3.1081257770644379</v>
      </c>
      <c r="S49" s="188">
        <f t="shared" si="18"/>
        <v>0.84616910274589396</v>
      </c>
      <c r="T49" s="188">
        <f t="shared" si="19"/>
        <v>1</v>
      </c>
      <c r="U49" s="188">
        <v>29</v>
      </c>
      <c r="V49" s="188">
        <f>1-0.81</f>
        <v>0.18999999999999995</v>
      </c>
      <c r="W49" s="188">
        <f>(U49/100+V49)/2</f>
        <v>0.23999999999999996</v>
      </c>
      <c r="X49" s="188">
        <v>0.66800000000000004</v>
      </c>
      <c r="Y49" s="188">
        <v>1</v>
      </c>
      <c r="Z49" s="188">
        <f t="shared" si="25"/>
        <v>0.64633333333333332</v>
      </c>
      <c r="AA49" s="188">
        <f>19/112</f>
        <v>0.16964285714285715</v>
      </c>
      <c r="AB49" s="188">
        <f t="shared" si="24"/>
        <v>0.16964285714285715</v>
      </c>
      <c r="AC49" s="188">
        <f t="shared" si="22"/>
        <v>2.8747801175610967</v>
      </c>
      <c r="AD49" s="188" t="s">
        <v>223</v>
      </c>
      <c r="AE49" s="188">
        <v>5.0999999999999996</v>
      </c>
      <c r="AF49" s="188">
        <v>0.83799999999999997</v>
      </c>
      <c r="AG49" s="188"/>
      <c r="AH49" s="188">
        <v>7.29</v>
      </c>
      <c r="AI49" s="188">
        <f t="shared" si="20"/>
        <v>0.92492399721232277</v>
      </c>
    </row>
    <row r="50" spans="4:35" ht="14">
      <c r="D50" s="164" t="s">
        <v>48</v>
      </c>
      <c r="E50" s="181">
        <v>1</v>
      </c>
      <c r="F50" s="181">
        <v>1</v>
      </c>
      <c r="G50" s="182" t="s">
        <v>8</v>
      </c>
      <c r="H50" s="131">
        <f t="shared" si="14"/>
        <v>1</v>
      </c>
      <c r="I50" s="131"/>
      <c r="J50" s="131">
        <f t="shared" si="23"/>
        <v>-1</v>
      </c>
      <c r="K50" s="131">
        <v>0.75</v>
      </c>
      <c r="L50" s="131">
        <v>0.75</v>
      </c>
      <c r="M50" s="131">
        <f t="shared" si="15"/>
        <v>0.18100000000000005</v>
      </c>
      <c r="N50" s="131">
        <f t="shared" si="16"/>
        <v>0.2413333333333334</v>
      </c>
      <c r="O50" s="131">
        <v>0.43</v>
      </c>
      <c r="P50" s="131">
        <v>0.4</v>
      </c>
      <c r="Q50" s="131">
        <f t="shared" si="17"/>
        <v>0.21283582089552239</v>
      </c>
      <c r="R50" s="188">
        <f t="shared" si="21"/>
        <v>3.3339878972694121</v>
      </c>
      <c r="S50" s="188">
        <f t="shared" si="18"/>
        <v>0.78884509513487155</v>
      </c>
      <c r="T50" s="188">
        <f t="shared" si="19"/>
        <v>1</v>
      </c>
      <c r="U50" s="188">
        <v>31</v>
      </c>
      <c r="V50" s="188">
        <f>1-0.841</f>
        <v>0.15900000000000003</v>
      </c>
      <c r="W50" s="188">
        <f>(U50/100+V50)/2</f>
        <v>0.23450000000000001</v>
      </c>
      <c r="X50" s="188">
        <v>0.40699999999999997</v>
      </c>
      <c r="Y50" s="188">
        <v>0.82</v>
      </c>
      <c r="Z50" s="188">
        <f t="shared" si="25"/>
        <v>0.46933333333333332</v>
      </c>
      <c r="AA50" s="188">
        <f>-4/114</f>
        <v>-3.5087719298245612E-2</v>
      </c>
      <c r="AB50" s="188">
        <f t="shared" si="24"/>
        <v>-3.5087719298245612E-2</v>
      </c>
      <c r="AC50" s="188">
        <f t="shared" si="22"/>
        <v>1.9517874896068865</v>
      </c>
      <c r="AD50" s="188">
        <v>9</v>
      </c>
      <c r="AE50" s="188">
        <v>8.5</v>
      </c>
      <c r="AF50" s="188">
        <v>10.548</v>
      </c>
      <c r="AG50" s="188"/>
      <c r="AH50" s="188">
        <v>8.19</v>
      </c>
      <c r="AI50" s="188">
        <f t="shared" si="20"/>
        <v>0.58542128818326866</v>
      </c>
    </row>
    <row r="51" spans="4:35" ht="14">
      <c r="D51" s="164" t="s">
        <v>49</v>
      </c>
      <c r="E51" s="181">
        <v>1</v>
      </c>
      <c r="F51" s="181">
        <v>1</v>
      </c>
      <c r="G51" s="182" t="s">
        <v>8</v>
      </c>
      <c r="H51" s="131">
        <f t="shared" si="14"/>
        <v>1</v>
      </c>
      <c r="I51" s="131">
        <v>28.7</v>
      </c>
      <c r="J51" s="131">
        <f t="shared" si="23"/>
        <v>1.2060733333333333</v>
      </c>
      <c r="K51" s="131">
        <f>(J51+L51)/2</f>
        <v>0.97803666666666667</v>
      </c>
      <c r="L51" s="131">
        <v>0.75</v>
      </c>
      <c r="M51" s="131">
        <f t="shared" si="15"/>
        <v>4.8000000000000043E-2</v>
      </c>
      <c r="N51" s="131">
        <f t="shared" si="16"/>
        <v>6.4000000000000057E-2</v>
      </c>
      <c r="O51" s="131">
        <v>0.78</v>
      </c>
      <c r="P51" s="131">
        <v>0.4</v>
      </c>
      <c r="Q51" s="131">
        <f t="shared" si="17"/>
        <v>0.22328358208955226</v>
      </c>
      <c r="R51" s="188">
        <f t="shared" si="21"/>
        <v>3.5442275888587806</v>
      </c>
      <c r="S51" s="188">
        <f t="shared" si="18"/>
        <v>0.74205166966911507</v>
      </c>
      <c r="T51" s="188">
        <f t="shared" si="19"/>
        <v>1</v>
      </c>
      <c r="U51" s="188">
        <v>24.8</v>
      </c>
      <c r="V51" s="188">
        <f>1-0.863</f>
        <v>0.13700000000000001</v>
      </c>
      <c r="W51" s="188">
        <f>(U51/100+V51)/2</f>
        <v>0.1925</v>
      </c>
      <c r="X51" s="188">
        <v>0.46500000000000002</v>
      </c>
      <c r="Y51" s="188">
        <v>0.9</v>
      </c>
      <c r="Z51" s="188">
        <f t="shared" si="25"/>
        <v>0.47100000000000003</v>
      </c>
      <c r="AA51" s="188">
        <f>2/100</f>
        <v>0.02</v>
      </c>
      <c r="AB51" s="188">
        <f t="shared" si="24"/>
        <v>0.02</v>
      </c>
      <c r="AC51" s="188">
        <f t="shared" si="22"/>
        <v>1.9807984084117158</v>
      </c>
      <c r="AD51" s="188">
        <v>13.4</v>
      </c>
      <c r="AE51" s="188">
        <v>6</v>
      </c>
      <c r="AF51" s="188">
        <v>5.5</v>
      </c>
      <c r="AG51" s="188"/>
      <c r="AH51" s="188">
        <v>9.52</v>
      </c>
      <c r="AI51" s="188">
        <f t="shared" si="20"/>
        <v>0.55888013925469182</v>
      </c>
    </row>
    <row r="52" spans="4:35" ht="14">
      <c r="D52" s="164" t="s">
        <v>50</v>
      </c>
      <c r="E52" s="181">
        <v>6</v>
      </c>
      <c r="F52" s="181">
        <v>5</v>
      </c>
      <c r="G52" s="182" t="s">
        <v>4</v>
      </c>
      <c r="H52" s="131">
        <f t="shared" si="14"/>
        <v>2.5</v>
      </c>
      <c r="I52" s="131">
        <v>30.9</v>
      </c>
      <c r="J52" s="131">
        <f t="shared" si="23"/>
        <v>1.3751799999999998</v>
      </c>
      <c r="K52" s="131">
        <f>(J52+L52)/2</f>
        <v>1.0625899999999999</v>
      </c>
      <c r="L52" s="131">
        <v>0.75</v>
      </c>
      <c r="M52" s="131">
        <f t="shared" si="15"/>
        <v>0.78</v>
      </c>
      <c r="N52" s="131">
        <f t="shared" si="16"/>
        <v>1.04</v>
      </c>
      <c r="O52" s="131">
        <v>0.04</v>
      </c>
      <c r="P52" s="131">
        <v>0.2</v>
      </c>
      <c r="Q52" s="131">
        <f t="shared" si="17"/>
        <v>0.10119402985074627</v>
      </c>
      <c r="R52" s="188">
        <f t="shared" si="21"/>
        <v>247.01771992131384</v>
      </c>
      <c r="S52" s="188">
        <f t="shared" si="18"/>
        <v>1.0647009456802419E-2</v>
      </c>
      <c r="T52" s="188">
        <f t="shared" si="19"/>
        <v>0.5</v>
      </c>
      <c r="U52" s="188"/>
      <c r="V52" s="188">
        <v>0.59799999999999998</v>
      </c>
      <c r="W52" s="188">
        <f>V52</f>
        <v>0.59799999999999998</v>
      </c>
      <c r="X52" s="188"/>
      <c r="Y52" s="188">
        <v>0.52</v>
      </c>
      <c r="Z52" s="188">
        <f>(Y52+N52)/2</f>
        <v>0.78</v>
      </c>
      <c r="AA52" s="188">
        <f>15/122</f>
        <v>0.12295081967213115</v>
      </c>
      <c r="AB52" s="188">
        <f t="shared" si="24"/>
        <v>0.12295081967213115</v>
      </c>
      <c r="AC52" s="188">
        <f t="shared" si="22"/>
        <v>2.1180066985178025</v>
      </c>
      <c r="AD52" s="188">
        <v>42</v>
      </c>
      <c r="AE52" s="188">
        <v>59</v>
      </c>
      <c r="AF52" s="188">
        <v>0.81799999999999995</v>
      </c>
      <c r="AG52" s="188"/>
      <c r="AH52" s="188">
        <v>2.2000000000000002</v>
      </c>
      <c r="AI52" s="188">
        <f t="shared" si="20"/>
        <v>8.5743107789695502E-3</v>
      </c>
    </row>
    <row r="53" spans="4:35" ht="14">
      <c r="D53" s="164" t="s">
        <v>51</v>
      </c>
      <c r="E53" s="181">
        <v>1</v>
      </c>
      <c r="F53" s="181">
        <v>1</v>
      </c>
      <c r="G53" s="182" t="s">
        <v>8</v>
      </c>
      <c r="H53" s="131">
        <f t="shared" si="14"/>
        <v>1</v>
      </c>
      <c r="I53" s="131"/>
      <c r="J53" s="131">
        <f t="shared" si="23"/>
        <v>-1</v>
      </c>
      <c r="K53" s="131">
        <v>0.75</v>
      </c>
      <c r="L53" s="131">
        <v>0.75</v>
      </c>
      <c r="M53" s="131">
        <f t="shared" si="15"/>
        <v>0.19000000000000006</v>
      </c>
      <c r="N53" s="131">
        <f t="shared" si="16"/>
        <v>0.25333333333333341</v>
      </c>
      <c r="O53" s="131">
        <v>0.03</v>
      </c>
      <c r="P53" s="131">
        <v>0.2</v>
      </c>
      <c r="Q53" s="131">
        <f t="shared" si="17"/>
        <v>0.10089552238805971</v>
      </c>
      <c r="R53" s="188">
        <f t="shared" si="21"/>
        <v>3.0168971086122003</v>
      </c>
      <c r="S53" s="188">
        <f t="shared" si="18"/>
        <v>0.87175661128523652</v>
      </c>
      <c r="T53" s="188">
        <f t="shared" si="19"/>
        <v>1</v>
      </c>
      <c r="U53" s="188"/>
      <c r="V53" s="189">
        <v>0.15</v>
      </c>
      <c r="W53" s="188">
        <f>V53</f>
        <v>0.15</v>
      </c>
      <c r="X53" s="188">
        <v>0.78</v>
      </c>
      <c r="Y53" s="188">
        <v>0.91</v>
      </c>
      <c r="Z53" s="188">
        <f>(Y53+X53+M53)/3</f>
        <v>0.62666666666666659</v>
      </c>
      <c r="AA53" s="188">
        <f>-9/110</f>
        <v>-8.1818181818181818E-2</v>
      </c>
      <c r="AB53" s="188">
        <f t="shared" si="24"/>
        <v>-8.1818181818181818E-2</v>
      </c>
      <c r="AC53" s="188">
        <f t="shared" si="22"/>
        <v>2.0034055046554986</v>
      </c>
      <c r="AD53" s="188">
        <v>29</v>
      </c>
      <c r="AE53" s="188">
        <v>23</v>
      </c>
      <c r="AF53" s="188">
        <v>7.0999999999999994E-2</v>
      </c>
      <c r="AG53" s="188"/>
      <c r="AH53" s="188">
        <v>8.1</v>
      </c>
      <c r="AI53" s="188">
        <f t="shared" si="20"/>
        <v>0.66406159458884662</v>
      </c>
    </row>
    <row r="54" spans="4:35" ht="14">
      <c r="D54" s="164" t="s">
        <v>52</v>
      </c>
      <c r="E54" s="181">
        <v>2</v>
      </c>
      <c r="F54" s="181">
        <v>2</v>
      </c>
      <c r="G54" s="182" t="s">
        <v>8</v>
      </c>
      <c r="H54" s="131">
        <f t="shared" si="14"/>
        <v>1.3333333333333333</v>
      </c>
      <c r="I54" s="131">
        <v>37.799999999999997</v>
      </c>
      <c r="J54" s="131">
        <f t="shared" si="23"/>
        <v>1.9055599999999999</v>
      </c>
      <c r="K54" s="131">
        <f>(J54+L54)/2</f>
        <v>1.32778</v>
      </c>
      <c r="L54" s="131">
        <v>0.75</v>
      </c>
      <c r="M54" s="131">
        <f t="shared" si="15"/>
        <v>0.38</v>
      </c>
      <c r="N54" s="131">
        <f t="shared" si="16"/>
        <v>0.50666666666666671</v>
      </c>
      <c r="O54" s="131">
        <v>0.12</v>
      </c>
      <c r="P54" s="131">
        <v>0.2</v>
      </c>
      <c r="Q54" s="131">
        <f t="shared" si="17"/>
        <v>0.10358208955223881</v>
      </c>
      <c r="R54" s="188">
        <f t="shared" si="21"/>
        <v>13.250540467829476</v>
      </c>
      <c r="S54" s="188">
        <f t="shared" si="18"/>
        <v>0.19848246993285179</v>
      </c>
      <c r="T54" s="188">
        <f t="shared" si="19"/>
        <v>0.88888888888888895</v>
      </c>
      <c r="U54" s="188">
        <v>48.4</v>
      </c>
      <c r="V54" s="188">
        <v>0.33700000000000002</v>
      </c>
      <c r="W54" s="188">
        <f>(U54/100+V54)/2</f>
        <v>0.41049999999999998</v>
      </c>
      <c r="X54" s="188">
        <v>0.36399999999999999</v>
      </c>
      <c r="Y54" s="188">
        <v>0.55000000000000004</v>
      </c>
      <c r="Z54" s="188">
        <f>(Y54+X54+M54)/3</f>
        <v>0.43133333333333335</v>
      </c>
      <c r="AA54" s="188">
        <f>14/141</f>
        <v>9.9290780141843976E-2</v>
      </c>
      <c r="AB54" s="188">
        <f t="shared" si="24"/>
        <v>9.9290780141843976E-2</v>
      </c>
      <c r="AC54" s="188">
        <f t="shared" si="22"/>
        <v>2.3084002855001979</v>
      </c>
      <c r="AD54" s="188">
        <v>42.2</v>
      </c>
      <c r="AE54" s="188">
        <v>13.3</v>
      </c>
      <c r="AF54" s="188">
        <v>9.3800000000000008</v>
      </c>
      <c r="AG54" s="188"/>
      <c r="AH54" s="188">
        <v>6.2</v>
      </c>
      <c r="AI54" s="188">
        <f t="shared" si="20"/>
        <v>0.17421178336873747</v>
      </c>
    </row>
    <row r="55" spans="4:35" ht="14">
      <c r="D55" s="164" t="s">
        <v>53</v>
      </c>
      <c r="E55" s="181">
        <v>3</v>
      </c>
      <c r="F55" s="181">
        <v>4</v>
      </c>
      <c r="G55" s="182" t="s">
        <v>3</v>
      </c>
      <c r="H55" s="131">
        <f t="shared" si="14"/>
        <v>1.8333333333333335</v>
      </c>
      <c r="I55" s="131"/>
      <c r="J55" s="131">
        <f t="shared" si="23"/>
        <v>-1</v>
      </c>
      <c r="K55" s="131">
        <v>0.75</v>
      </c>
      <c r="L55" s="131">
        <v>0.75</v>
      </c>
      <c r="M55" s="131">
        <f t="shared" si="15"/>
        <v>0.27800000000000002</v>
      </c>
      <c r="N55" s="131">
        <f t="shared" si="16"/>
        <v>0.3706666666666667</v>
      </c>
      <c r="O55" s="131">
        <v>0.03</v>
      </c>
      <c r="P55" s="131">
        <v>0.2</v>
      </c>
      <c r="Q55" s="131">
        <f t="shared" si="17"/>
        <v>0.10089552238805971</v>
      </c>
      <c r="R55" s="188">
        <f t="shared" si="21"/>
        <v>9.3889238429118329</v>
      </c>
      <c r="S55" s="188">
        <f t="shared" si="18"/>
        <v>0.28011730034273502</v>
      </c>
      <c r="T55" s="188">
        <f t="shared" si="19"/>
        <v>0.7222222222222221</v>
      </c>
      <c r="U55" s="188">
        <v>36.9</v>
      </c>
      <c r="V55" s="188">
        <v>0.498</v>
      </c>
      <c r="W55" s="188">
        <f>(U55/100+V55)/2</f>
        <v>0.4335</v>
      </c>
      <c r="X55" s="188"/>
      <c r="Y55" s="188">
        <v>0.27</v>
      </c>
      <c r="Z55" s="188">
        <f>(Y55+N55)/2</f>
        <v>0.32033333333333336</v>
      </c>
      <c r="AA55" s="188" t="s">
        <v>223</v>
      </c>
      <c r="AB55" s="188">
        <v>0.1</v>
      </c>
      <c r="AC55" s="188">
        <f t="shared" si="22"/>
        <v>1.852724776014431</v>
      </c>
      <c r="AD55" s="188">
        <v>41</v>
      </c>
      <c r="AE55" s="188">
        <v>18.399999999999999</v>
      </c>
      <c r="AF55" s="188">
        <v>1.2</v>
      </c>
      <c r="AG55" s="188"/>
      <c r="AH55" s="188">
        <v>7.22</v>
      </c>
      <c r="AI55" s="188">
        <f t="shared" si="20"/>
        <v>0.19733089830238057</v>
      </c>
    </row>
    <row r="56" spans="4:35" ht="14">
      <c r="D56" s="164" t="s">
        <v>54</v>
      </c>
      <c r="E56" s="181">
        <v>3</v>
      </c>
      <c r="F56" s="181">
        <v>3</v>
      </c>
      <c r="G56" s="182" t="s">
        <v>3</v>
      </c>
      <c r="H56" s="131">
        <f t="shared" si="14"/>
        <v>1.6666666666666665</v>
      </c>
      <c r="I56" s="131">
        <v>35.299999999999997</v>
      </c>
      <c r="J56" s="131">
        <f t="shared" si="23"/>
        <v>1.7133933333333333</v>
      </c>
      <c r="K56" s="131">
        <f>(J56+L56)/2</f>
        <v>1.2316966666666667</v>
      </c>
      <c r="L56" s="131">
        <v>0.75</v>
      </c>
      <c r="M56" s="131">
        <f t="shared" si="15"/>
        <v>0.42300000000000004</v>
      </c>
      <c r="N56" s="131">
        <f t="shared" si="16"/>
        <v>0.56400000000000006</v>
      </c>
      <c r="O56" s="131">
        <v>0.17</v>
      </c>
      <c r="P56" s="131">
        <v>0.2</v>
      </c>
      <c r="Q56" s="131">
        <f t="shared" si="17"/>
        <v>0.10507462686567165</v>
      </c>
      <c r="R56" s="188">
        <f t="shared" si="21"/>
        <v>23.758780226003616</v>
      </c>
      <c r="S56" s="188">
        <f t="shared" si="18"/>
        <v>0.11069591851864119</v>
      </c>
      <c r="T56" s="188">
        <f t="shared" si="19"/>
        <v>0.77777777777777779</v>
      </c>
      <c r="U56" s="188">
        <v>46.9</v>
      </c>
      <c r="V56" s="188">
        <f>1-0.695</f>
        <v>0.30500000000000005</v>
      </c>
      <c r="W56" s="188">
        <f>(U56/100+V56)/2</f>
        <v>0.38700000000000001</v>
      </c>
      <c r="X56" s="188">
        <v>0.255</v>
      </c>
      <c r="Y56" s="188">
        <f>1-0.58</f>
        <v>0.42000000000000004</v>
      </c>
      <c r="Z56" s="188">
        <f>(Y56+X56+M56)/3</f>
        <v>0.36600000000000005</v>
      </c>
      <c r="AA56" s="188">
        <f>6/120</f>
        <v>0.05</v>
      </c>
      <c r="AB56" s="188">
        <f>AA56</f>
        <v>0.05</v>
      </c>
      <c r="AC56" s="188">
        <f t="shared" si="22"/>
        <v>1.8674158103863723</v>
      </c>
      <c r="AD56" s="188">
        <v>33</v>
      </c>
      <c r="AE56" s="188">
        <v>7.5</v>
      </c>
      <c r="AF56" s="188">
        <v>15</v>
      </c>
      <c r="AG56" s="188"/>
      <c r="AH56" s="188">
        <v>5.77</v>
      </c>
      <c r="AI56" s="188">
        <f t="shared" si="20"/>
        <v>7.8598976572985618E-2</v>
      </c>
    </row>
    <row r="57" spans="4:35" ht="14">
      <c r="D57" s="164" t="s">
        <v>55</v>
      </c>
      <c r="E57" s="181">
        <v>3</v>
      </c>
      <c r="F57" s="181">
        <v>3</v>
      </c>
      <c r="G57" s="182" t="s">
        <v>3</v>
      </c>
      <c r="H57" s="131">
        <f t="shared" si="14"/>
        <v>1.6666666666666665</v>
      </c>
      <c r="I57" s="131">
        <v>27.6</v>
      </c>
      <c r="J57" s="131">
        <f t="shared" si="23"/>
        <v>1.1215199999999999</v>
      </c>
      <c r="K57" s="131">
        <f>(J57+L57)/2</f>
        <v>1.0607599999999999</v>
      </c>
      <c r="L57" s="131">
        <v>1</v>
      </c>
      <c r="M57" s="131">
        <f t="shared" si="15"/>
        <v>0.40100000000000002</v>
      </c>
      <c r="N57" s="131">
        <f t="shared" si="16"/>
        <v>0.53466666666666673</v>
      </c>
      <c r="O57" s="131">
        <v>0.4</v>
      </c>
      <c r="P57" s="131">
        <v>0.6</v>
      </c>
      <c r="Q57" s="131">
        <f t="shared" si="17"/>
        <v>0.31194029850746269</v>
      </c>
      <c r="R57" s="188">
        <f t="shared" si="21"/>
        <v>24.021396210404351</v>
      </c>
      <c r="S57" s="188">
        <f t="shared" si="18"/>
        <v>0.10948572584889432</v>
      </c>
      <c r="T57" s="188">
        <f t="shared" si="19"/>
        <v>0.77777777777777779</v>
      </c>
      <c r="U57" s="188">
        <v>34.4</v>
      </c>
      <c r="V57" s="188">
        <v>0.38</v>
      </c>
      <c r="W57" s="188">
        <f>(U57/100+V57)/2</f>
        <v>0.36199999999999999</v>
      </c>
      <c r="X57" s="188">
        <v>0.85699999999999998</v>
      </c>
      <c r="Y57" s="188">
        <v>0.88</v>
      </c>
      <c r="Z57" s="188">
        <f>(Y57+X57+M57)/3</f>
        <v>0.71266666666666667</v>
      </c>
      <c r="AA57" s="188">
        <v>-0.13800000000000001</v>
      </c>
      <c r="AB57" s="188">
        <f>AA57</f>
        <v>-0.13800000000000001</v>
      </c>
      <c r="AC57" s="188">
        <f t="shared" si="22"/>
        <v>2.0720086902375203</v>
      </c>
      <c r="AD57" s="188">
        <v>20</v>
      </c>
      <c r="AE57" s="188">
        <v>12.3</v>
      </c>
      <c r="AF57" s="188">
        <v>81.8</v>
      </c>
      <c r="AG57" s="188"/>
      <c r="AH57" s="188">
        <v>5.99</v>
      </c>
      <c r="AI57" s="188">
        <f t="shared" si="20"/>
        <v>8.6256796736072922E-2</v>
      </c>
    </row>
    <row r="58" spans="4:35" ht="14">
      <c r="D58" s="164" t="s">
        <v>56</v>
      </c>
      <c r="E58" s="181">
        <v>2</v>
      </c>
      <c r="F58" s="181">
        <v>3</v>
      </c>
      <c r="G58" s="182" t="s">
        <v>8</v>
      </c>
      <c r="H58" s="131">
        <f t="shared" si="14"/>
        <v>1.5</v>
      </c>
      <c r="I58" s="131">
        <v>36.299999999999997</v>
      </c>
      <c r="J58" s="131">
        <f t="shared" si="23"/>
        <v>1.7902599999999995</v>
      </c>
      <c r="K58" s="131">
        <f>(J58+L58)/2</f>
        <v>1.2701299999999998</v>
      </c>
      <c r="L58" s="131">
        <v>0.75</v>
      </c>
      <c r="M58" s="131">
        <f t="shared" si="15"/>
        <v>0.35299999999999998</v>
      </c>
      <c r="N58" s="131">
        <f t="shared" si="16"/>
        <v>0.47066666666666662</v>
      </c>
      <c r="O58" s="131">
        <v>0.1</v>
      </c>
      <c r="P58" s="131">
        <v>0.2</v>
      </c>
      <c r="Q58" s="131">
        <f t="shared" si="17"/>
        <v>0.10298507462686568</v>
      </c>
      <c r="R58" s="188">
        <f t="shared" si="21"/>
        <v>15.889724015210431</v>
      </c>
      <c r="S58" s="188">
        <f t="shared" si="18"/>
        <v>0.16551577594943961</v>
      </c>
      <c r="T58" s="188">
        <f t="shared" si="19"/>
        <v>0.83333333333333337</v>
      </c>
      <c r="U58" s="188">
        <v>46.9</v>
      </c>
      <c r="V58" s="188">
        <v>0.34100000000000003</v>
      </c>
      <c r="W58" s="188">
        <f>(U58/100+V58)/2</f>
        <v>0.40500000000000003</v>
      </c>
      <c r="X58" s="188">
        <v>0.57099999999999995</v>
      </c>
      <c r="Y58" s="188">
        <v>0.8</v>
      </c>
      <c r="Z58" s="188">
        <f>(Y58+X58+M58)/3</f>
        <v>0.57466666666666666</v>
      </c>
      <c r="AA58" s="188">
        <f>14/109</f>
        <v>0.12844036697247707</v>
      </c>
      <c r="AB58" s="188">
        <f>AA58</f>
        <v>0.12844036697247707</v>
      </c>
      <c r="AC58" s="188">
        <f t="shared" si="22"/>
        <v>2.5178932199537076</v>
      </c>
      <c r="AD58" s="188">
        <v>36.5</v>
      </c>
      <c r="AE58" s="188">
        <v>7</v>
      </c>
      <c r="AF58" s="188">
        <v>6.1829999999999998</v>
      </c>
      <c r="AG58" s="188"/>
      <c r="AH58" s="188">
        <v>6.47</v>
      </c>
      <c r="AI58" s="188">
        <f t="shared" si="20"/>
        <v>0.15846047530740343</v>
      </c>
    </row>
    <row r="59" spans="4:35" ht="14">
      <c r="D59" s="164" t="s">
        <v>57</v>
      </c>
      <c r="E59" s="181">
        <v>7</v>
      </c>
      <c r="F59" s="181">
        <v>7</v>
      </c>
      <c r="G59" s="182" t="s">
        <v>4</v>
      </c>
      <c r="H59" s="131">
        <f t="shared" si="14"/>
        <v>3</v>
      </c>
      <c r="I59" s="131"/>
      <c r="J59" s="131">
        <f t="shared" si="23"/>
        <v>-1</v>
      </c>
      <c r="K59" s="131">
        <v>0.75</v>
      </c>
      <c r="L59" s="131">
        <v>0.75</v>
      </c>
      <c r="M59" s="131">
        <f t="shared" si="15"/>
        <v>0.81600000000000006</v>
      </c>
      <c r="N59" s="131">
        <f t="shared" si="16"/>
        <v>1.0880000000000001</v>
      </c>
      <c r="O59" s="131">
        <v>0.05</v>
      </c>
      <c r="P59" s="131">
        <v>0.2</v>
      </c>
      <c r="Q59" s="131">
        <f t="shared" si="17"/>
        <v>0.10149253731343284</v>
      </c>
      <c r="R59" s="188">
        <f t="shared" si="21"/>
        <v>336.45944169532152</v>
      </c>
      <c r="S59" s="188">
        <f t="shared" si="18"/>
        <v>7.8166925164833926E-3</v>
      </c>
      <c r="T59" s="188">
        <f t="shared" si="19"/>
        <v>0.33333333333333337</v>
      </c>
      <c r="U59" s="188"/>
      <c r="V59" s="189">
        <v>0.9</v>
      </c>
      <c r="W59" s="188">
        <f>V59</f>
        <v>0.9</v>
      </c>
      <c r="X59" s="188">
        <v>5.5E-2</v>
      </c>
      <c r="Y59" s="188">
        <v>0.28999999999999998</v>
      </c>
      <c r="Z59" s="188">
        <f>(Y59+X59+M59)/3</f>
        <v>0.38700000000000001</v>
      </c>
      <c r="AA59" s="188" t="s">
        <v>225</v>
      </c>
      <c r="AB59" s="188">
        <v>0.1</v>
      </c>
      <c r="AC59" s="188">
        <f t="shared" si="22"/>
        <v>1.5877744731834311</v>
      </c>
      <c r="AD59" s="188" t="s">
        <v>223</v>
      </c>
      <c r="AE59" s="188">
        <v>22.3</v>
      </c>
      <c r="AF59" s="188">
        <v>0.72</v>
      </c>
      <c r="AG59" s="188"/>
      <c r="AH59" s="188">
        <v>1.84</v>
      </c>
      <c r="AI59" s="188">
        <f t="shared" si="20"/>
        <v>4.7190664799985878E-3</v>
      </c>
    </row>
    <row r="60" spans="4:35" ht="14">
      <c r="D60" s="164" t="s">
        <v>58</v>
      </c>
      <c r="E60" s="181">
        <v>7</v>
      </c>
      <c r="F60" s="181">
        <v>7</v>
      </c>
      <c r="G60" s="182" t="s">
        <v>4</v>
      </c>
      <c r="H60" s="131">
        <f t="shared" si="14"/>
        <v>3</v>
      </c>
      <c r="I60" s="131"/>
      <c r="J60" s="131">
        <f t="shared" si="23"/>
        <v>-1</v>
      </c>
      <c r="K60" s="131">
        <v>0.75</v>
      </c>
      <c r="L60" s="131">
        <v>0.75</v>
      </c>
      <c r="M60" s="131">
        <f t="shared" si="15"/>
        <v>0.76900000000000002</v>
      </c>
      <c r="N60" s="131">
        <f t="shared" si="16"/>
        <v>1.0253333333333334</v>
      </c>
      <c r="O60" s="131">
        <v>0.04</v>
      </c>
      <c r="P60" s="131">
        <v>0.2</v>
      </c>
      <c r="Q60" s="131">
        <f t="shared" si="17"/>
        <v>0.10119402985074627</v>
      </c>
      <c r="R60" s="188">
        <f t="shared" si="21"/>
        <v>278.54568615334654</v>
      </c>
      <c r="S60" s="188">
        <f t="shared" si="18"/>
        <v>9.4418981543735615E-3</v>
      </c>
      <c r="T60" s="188">
        <f t="shared" si="19"/>
        <v>0.33333333333333337</v>
      </c>
      <c r="U60" s="188"/>
      <c r="V60" s="189">
        <v>0.9</v>
      </c>
      <c r="W60" s="188">
        <f>V60</f>
        <v>0.9</v>
      </c>
      <c r="X60" s="188"/>
      <c r="Y60" s="188">
        <v>0.18</v>
      </c>
      <c r="Z60" s="188">
        <f>(Y60+N60)/2</f>
        <v>0.60266666666666668</v>
      </c>
      <c r="AA60" s="188">
        <f>1/96</f>
        <v>1.0416666666666666E-2</v>
      </c>
      <c r="AB60" s="188">
        <f>AA60</f>
        <v>1.0416666666666666E-2</v>
      </c>
      <c r="AC60" s="188">
        <f t="shared" si="22"/>
        <v>1.6559272289241282</v>
      </c>
      <c r="AD60" s="188">
        <v>50</v>
      </c>
      <c r="AE60" s="188"/>
      <c r="AF60" s="188">
        <v>5.415</v>
      </c>
      <c r="AG60" s="188"/>
      <c r="AH60" s="188">
        <v>2.31</v>
      </c>
      <c r="AI60" s="188">
        <f t="shared" si="20"/>
        <v>5.9449035158006284E-3</v>
      </c>
    </row>
    <row r="61" spans="4:35" ht="14">
      <c r="D61" s="164" t="s">
        <v>59</v>
      </c>
      <c r="E61" s="181">
        <v>1</v>
      </c>
      <c r="F61" s="181">
        <v>1</v>
      </c>
      <c r="G61" s="182" t="s">
        <v>8</v>
      </c>
      <c r="H61" s="131">
        <f t="shared" si="14"/>
        <v>1</v>
      </c>
      <c r="I61" s="131">
        <v>27.7</v>
      </c>
      <c r="J61" s="131">
        <f t="shared" si="23"/>
        <v>1.1292066666666667</v>
      </c>
      <c r="K61" s="131">
        <f>(J61+L61)/2</f>
        <v>0.93960333333333335</v>
      </c>
      <c r="L61" s="131">
        <v>0.75</v>
      </c>
      <c r="M61" s="131">
        <f t="shared" si="15"/>
        <v>0.23199999999999998</v>
      </c>
      <c r="N61" s="131">
        <f t="shared" si="16"/>
        <v>0.30933333333333329</v>
      </c>
      <c r="O61" s="131">
        <v>7.0000000000000007E-2</v>
      </c>
      <c r="P61" s="131">
        <v>0.2</v>
      </c>
      <c r="Q61" s="131">
        <f t="shared" si="17"/>
        <v>0.10208955223880598</v>
      </c>
      <c r="R61" s="188">
        <f t="shared" si="21"/>
        <v>3.8613861255741142</v>
      </c>
      <c r="S61" s="188">
        <f t="shared" si="18"/>
        <v>0.68110256640262035</v>
      </c>
      <c r="T61" s="188">
        <f t="shared" si="19"/>
        <v>1</v>
      </c>
      <c r="U61" s="188">
        <v>31.3</v>
      </c>
      <c r="V61" s="188">
        <f>1-0.812</f>
        <v>0.18799999999999994</v>
      </c>
      <c r="W61" s="188">
        <f>(U61/100+V61)/2</f>
        <v>0.25049999999999994</v>
      </c>
      <c r="X61" s="188">
        <v>5.8000000000000003E-2</v>
      </c>
      <c r="Y61" s="188">
        <v>0.21</v>
      </c>
      <c r="Z61" s="188">
        <f>(Y61+X61+M61)/3</f>
        <v>0.16666666666666666</v>
      </c>
      <c r="AA61" s="188">
        <f>-15/98</f>
        <v>-0.15306122448979592</v>
      </c>
      <c r="AB61" s="188">
        <f>AA61</f>
        <v>-0.15306122448979592</v>
      </c>
      <c r="AC61" s="188">
        <f t="shared" si="22"/>
        <v>1.3022655027712962</v>
      </c>
      <c r="AD61" s="188">
        <v>17.5</v>
      </c>
      <c r="AE61" s="188">
        <v>12.1</v>
      </c>
      <c r="AF61" s="188">
        <v>1.3160000000000001</v>
      </c>
      <c r="AG61" s="188"/>
      <c r="AH61" s="188">
        <v>7.68</v>
      </c>
      <c r="AI61" s="188">
        <f t="shared" si="20"/>
        <v>0.33725337493350893</v>
      </c>
    </row>
    <row r="62" spans="4:35" ht="14">
      <c r="D62" s="164" t="s">
        <v>60</v>
      </c>
      <c r="E62" s="181">
        <v>6</v>
      </c>
      <c r="F62" s="181">
        <v>6</v>
      </c>
      <c r="G62" s="182" t="s">
        <v>4</v>
      </c>
      <c r="H62" s="131">
        <f t="shared" si="14"/>
        <v>2.666666666666667</v>
      </c>
      <c r="I62" s="131">
        <v>25.8</v>
      </c>
      <c r="J62" s="131">
        <f t="shared" si="23"/>
        <v>0.98316000000000026</v>
      </c>
      <c r="K62" s="131">
        <f>(J62+L62)/2</f>
        <v>0.86658000000000013</v>
      </c>
      <c r="L62" s="131">
        <v>0.75</v>
      </c>
      <c r="M62" s="131">
        <f t="shared" si="15"/>
        <v>0.63200000000000001</v>
      </c>
      <c r="N62" s="131">
        <f t="shared" si="16"/>
        <v>0.84266666666666667</v>
      </c>
      <c r="O62" s="131">
        <v>0.08</v>
      </c>
      <c r="P62" s="131">
        <v>0.2</v>
      </c>
      <c r="Q62" s="131">
        <f t="shared" si="17"/>
        <v>0.10238805970149255</v>
      </c>
      <c r="R62" s="188">
        <f t="shared" si="21"/>
        <v>125.3394851275542</v>
      </c>
      <c r="S62" s="188">
        <f t="shared" si="18"/>
        <v>2.0983012634235163E-2</v>
      </c>
      <c r="T62" s="188">
        <f t="shared" si="19"/>
        <v>0.44444444444444431</v>
      </c>
      <c r="U62" s="188">
        <v>30</v>
      </c>
      <c r="V62" s="188">
        <v>0.67200000000000004</v>
      </c>
      <c r="W62" s="188">
        <f>(U62/100+V62)/2</f>
        <v>0.48599999999999999</v>
      </c>
      <c r="X62" s="188">
        <v>0.42299999999999999</v>
      </c>
      <c r="Y62" s="188">
        <v>0.25</v>
      </c>
      <c r="Z62" s="188">
        <f>(Y62+X62+M62)/3</f>
        <v>0.43500000000000005</v>
      </c>
      <c r="AA62" s="188">
        <f>105/164</f>
        <v>0.6402439024390244</v>
      </c>
      <c r="AB62" s="188">
        <f>AA62</f>
        <v>0.6402439024390244</v>
      </c>
      <c r="AC62" s="188">
        <f t="shared" si="22"/>
        <v>2.0014785428567281</v>
      </c>
      <c r="AD62" s="188">
        <v>29.2</v>
      </c>
      <c r="AE62" s="188"/>
      <c r="AF62" s="188">
        <v>84</v>
      </c>
      <c r="AG62" s="188"/>
      <c r="AH62" s="188">
        <v>3.68</v>
      </c>
      <c r="AI62" s="188">
        <f t="shared" si="20"/>
        <v>1.596845990567046E-2</v>
      </c>
    </row>
    <row r="63" spans="4:35" ht="14">
      <c r="D63" s="164" t="s">
        <v>61</v>
      </c>
      <c r="E63" s="181">
        <v>6</v>
      </c>
      <c r="F63" s="181">
        <v>4</v>
      </c>
      <c r="G63" s="182" t="s">
        <v>3</v>
      </c>
      <c r="H63" s="131">
        <f t="shared" si="14"/>
        <v>2.333333333333333</v>
      </c>
      <c r="I63" s="131"/>
      <c r="J63" s="131">
        <f t="shared" si="23"/>
        <v>-1</v>
      </c>
      <c r="K63" s="131">
        <v>0.75</v>
      </c>
      <c r="L63" s="131">
        <v>0.75</v>
      </c>
      <c r="M63" s="131">
        <f t="shared" si="15"/>
        <v>0.63100000000000001</v>
      </c>
      <c r="N63" s="131">
        <f t="shared" si="16"/>
        <v>0.84133333333333338</v>
      </c>
      <c r="O63" s="131">
        <v>0.06</v>
      </c>
      <c r="P63" s="131">
        <v>0.2</v>
      </c>
      <c r="Q63" s="131">
        <f t="shared" si="17"/>
        <v>0.1017910447761194</v>
      </c>
      <c r="R63" s="188">
        <f t="shared" si="21"/>
        <v>51.967761175516394</v>
      </c>
      <c r="S63" s="188">
        <f t="shared" si="18"/>
        <v>5.0608299078296136E-2</v>
      </c>
      <c r="T63" s="188">
        <f t="shared" si="19"/>
        <v>0.55555555555555558</v>
      </c>
      <c r="U63" s="188"/>
      <c r="V63" s="188">
        <v>0.33100000000000002</v>
      </c>
      <c r="W63" s="188">
        <f>V63</f>
        <v>0.33100000000000002</v>
      </c>
      <c r="X63" s="188"/>
      <c r="Y63" s="188">
        <v>0.85</v>
      </c>
      <c r="Z63" s="188">
        <f>(Y63+N63)/2</f>
        <v>0.84566666666666668</v>
      </c>
      <c r="AA63" s="188" t="s">
        <v>225</v>
      </c>
      <c r="AB63" s="188">
        <v>0.1</v>
      </c>
      <c r="AC63" s="188">
        <f t="shared" si="22"/>
        <v>2.0324851563396957</v>
      </c>
      <c r="AD63" s="188">
        <v>25.5</v>
      </c>
      <c r="AE63" s="188">
        <v>7.6</v>
      </c>
      <c r="AF63" s="188">
        <v>0.86799999999999999</v>
      </c>
      <c r="AG63" s="188"/>
      <c r="AH63" s="188">
        <v>3.69</v>
      </c>
      <c r="AI63" s="188">
        <f t="shared" si="20"/>
        <v>3.911050063278966E-2</v>
      </c>
    </row>
    <row r="64" spans="4:35" ht="14">
      <c r="D64" s="164" t="s">
        <v>62</v>
      </c>
      <c r="E64" s="181">
        <v>1</v>
      </c>
      <c r="F64" s="181">
        <v>1</v>
      </c>
      <c r="G64" s="182" t="s">
        <v>8</v>
      </c>
      <c r="H64" s="131">
        <f t="shared" si="14"/>
        <v>1</v>
      </c>
      <c r="I64" s="131">
        <v>24.7</v>
      </c>
      <c r="J64" s="131">
        <f t="shared" si="23"/>
        <v>0.89860666666666655</v>
      </c>
      <c r="K64" s="131">
        <f t="shared" ref="K64:K71" si="26">(J64+L64)/2</f>
        <v>0.78263666666666665</v>
      </c>
      <c r="L64" s="131">
        <f>2/3</f>
        <v>0.66666666666666663</v>
      </c>
      <c r="M64" s="131">
        <f t="shared" si="15"/>
        <v>8.1000000000000072E-2</v>
      </c>
      <c r="N64" s="131">
        <f t="shared" si="16"/>
        <v>0.1080000000000001</v>
      </c>
      <c r="O64" s="131">
        <v>0.53</v>
      </c>
      <c r="P64" s="131">
        <v>0.4</v>
      </c>
      <c r="Q64" s="131">
        <f t="shared" si="17"/>
        <v>0.21582089552238806</v>
      </c>
      <c r="R64" s="188">
        <f t="shared" si="21"/>
        <v>3.0236283849437209</v>
      </c>
      <c r="S64" s="188">
        <f t="shared" si="18"/>
        <v>0.86981588514520858</v>
      </c>
      <c r="T64" s="188">
        <f t="shared" si="19"/>
        <v>1</v>
      </c>
      <c r="U64" s="188">
        <v>26.8</v>
      </c>
      <c r="V64" s="188">
        <f>1-0.871</f>
        <v>0.129</v>
      </c>
      <c r="W64" s="188">
        <f>(U64/100+V64)/2</f>
        <v>0.19850000000000001</v>
      </c>
      <c r="X64" s="188">
        <v>0.49</v>
      </c>
      <c r="Y64" s="188">
        <v>0.73</v>
      </c>
      <c r="Z64" s="188">
        <f>(Y64+X64+M64)/3</f>
        <v>0.4336666666666667</v>
      </c>
      <c r="AA64" s="188">
        <f>-2/105</f>
        <v>-1.9047619047619049E-2</v>
      </c>
      <c r="AB64" s="188">
        <f>AA64</f>
        <v>-1.9047619047619049E-2</v>
      </c>
      <c r="AC64" s="188">
        <f t="shared" si="22"/>
        <v>1.8461807535486474</v>
      </c>
      <c r="AD64" s="188" t="s">
        <v>223</v>
      </c>
      <c r="AE64" s="188">
        <v>7.8</v>
      </c>
      <c r="AF64" s="188">
        <v>5.4</v>
      </c>
      <c r="AG64" s="188"/>
      <c r="AH64" s="188">
        <v>9.19</v>
      </c>
      <c r="AI64" s="188">
        <f t="shared" si="20"/>
        <v>0.61058454231405512</v>
      </c>
    </row>
    <row r="65" spans="4:35" ht="14">
      <c r="D65" s="164" t="s">
        <v>63</v>
      </c>
      <c r="E65" s="181">
        <v>1</v>
      </c>
      <c r="F65" s="181">
        <v>1</v>
      </c>
      <c r="G65" s="182" t="s">
        <v>8</v>
      </c>
      <c r="H65" s="131">
        <f t="shared" si="14"/>
        <v>1</v>
      </c>
      <c r="I65" s="131">
        <v>24.3</v>
      </c>
      <c r="J65" s="131">
        <f t="shared" si="23"/>
        <v>0.86786000000000008</v>
      </c>
      <c r="K65" s="131">
        <f t="shared" si="26"/>
        <v>0.93393000000000004</v>
      </c>
      <c r="L65" s="131">
        <v>1</v>
      </c>
      <c r="M65" s="131">
        <f t="shared" si="15"/>
        <v>0.22300000000000009</v>
      </c>
      <c r="N65" s="131">
        <f t="shared" si="16"/>
        <v>0.29733333333333345</v>
      </c>
      <c r="O65" s="131">
        <v>4.29</v>
      </c>
      <c r="P65" s="131">
        <v>0.8</v>
      </c>
      <c r="Q65" s="131">
        <f t="shared" si="17"/>
        <v>0.52805970149253734</v>
      </c>
      <c r="R65" s="188">
        <f t="shared" si="21"/>
        <v>5.8085039082765526</v>
      </c>
      <c r="S65" s="188">
        <f t="shared" si="18"/>
        <v>0.45278440740179343</v>
      </c>
      <c r="T65" s="188">
        <f t="shared" si="19"/>
        <v>1</v>
      </c>
      <c r="U65" s="188">
        <v>32.700000000000003</v>
      </c>
      <c r="V65" s="188">
        <f>1-0.872</f>
        <v>0.128</v>
      </c>
      <c r="W65" s="188">
        <f>(U65/100+V65)/2</f>
        <v>0.22750000000000001</v>
      </c>
      <c r="X65" s="188">
        <v>0.85499999999999998</v>
      </c>
      <c r="Y65" s="188">
        <v>0.83</v>
      </c>
      <c r="Z65" s="188">
        <f>(Y65+X65+M65)/3</f>
        <v>0.63600000000000001</v>
      </c>
      <c r="AA65" s="188">
        <f>6/103</f>
        <v>5.8252427184466021E-2</v>
      </c>
      <c r="AB65" s="188">
        <f>AA65</f>
        <v>5.8252427184466021E-2</v>
      </c>
      <c r="AC65" s="188">
        <f t="shared" si="22"/>
        <v>2.5136915938977329</v>
      </c>
      <c r="AD65" s="188">
        <v>6.2</v>
      </c>
      <c r="AE65" s="188">
        <v>9.1</v>
      </c>
      <c r="AF65" s="188">
        <v>65.3</v>
      </c>
      <c r="AG65" s="188"/>
      <c r="AH65" s="188">
        <v>7.77</v>
      </c>
      <c r="AI65" s="188">
        <f t="shared" si="20"/>
        <v>0.43276059267446942</v>
      </c>
    </row>
    <row r="66" spans="4:35" ht="14">
      <c r="D66" s="164" t="s">
        <v>64</v>
      </c>
      <c r="E66" s="181">
        <v>6</v>
      </c>
      <c r="F66" s="181">
        <v>5</v>
      </c>
      <c r="G66" s="182" t="s">
        <v>4</v>
      </c>
      <c r="H66" s="131">
        <f t="shared" si="14"/>
        <v>2.5</v>
      </c>
      <c r="I66" s="131">
        <v>32.700000000000003</v>
      </c>
      <c r="J66" s="131">
        <f t="shared" si="23"/>
        <v>1.5135400000000003</v>
      </c>
      <c r="K66" s="131">
        <f t="shared" si="26"/>
        <v>1.1317700000000002</v>
      </c>
      <c r="L66" s="131">
        <v>0.75</v>
      </c>
      <c r="M66" s="131">
        <f t="shared" si="15"/>
        <v>0.67100000000000004</v>
      </c>
      <c r="N66" s="131">
        <f t="shared" si="16"/>
        <v>0.89466666666666672</v>
      </c>
      <c r="O66" s="131">
        <v>0.09</v>
      </c>
      <c r="P66" s="131">
        <v>0.2</v>
      </c>
      <c r="Q66" s="131">
        <f t="shared" si="17"/>
        <v>0.10268656716417911</v>
      </c>
      <c r="R66" s="188">
        <f t="shared" si="21"/>
        <v>204.95861579269871</v>
      </c>
      <c r="S66" s="188">
        <f t="shared" si="18"/>
        <v>1.2831858713663742E-2</v>
      </c>
      <c r="T66" s="188">
        <f t="shared" si="19"/>
        <v>0.5</v>
      </c>
      <c r="U66" s="188"/>
      <c r="V66" s="188">
        <v>0.35199999999999998</v>
      </c>
      <c r="W66" s="188">
        <f>V66</f>
        <v>0.35199999999999998</v>
      </c>
      <c r="X66" s="188">
        <v>0.183</v>
      </c>
      <c r="Y66" s="188">
        <v>0.44</v>
      </c>
      <c r="Z66" s="188">
        <f>(Y66+X66+M66)/3</f>
        <v>0.43133333333333335</v>
      </c>
      <c r="AA66" s="188">
        <f>51/135</f>
        <v>0.37777777777777777</v>
      </c>
      <c r="AB66" s="188">
        <f>AA66</f>
        <v>0.37777777777777777</v>
      </c>
      <c r="AC66" s="188">
        <f t="shared" si="22"/>
        <v>1.7870309499969752</v>
      </c>
      <c r="AD66" s="188" t="s">
        <v>223</v>
      </c>
      <c r="AE66" s="188">
        <v>21</v>
      </c>
      <c r="AF66" s="188">
        <v>1.53</v>
      </c>
      <c r="AG66" s="188"/>
      <c r="AH66" s="188">
        <v>3.29</v>
      </c>
      <c r="AI66" s="188">
        <f t="shared" si="20"/>
        <v>8.7189842841465717E-3</v>
      </c>
    </row>
    <row r="67" spans="4:35" ht="14">
      <c r="D67" s="164" t="s">
        <v>65</v>
      </c>
      <c r="E67" s="181">
        <v>5</v>
      </c>
      <c r="F67" s="181">
        <v>5</v>
      </c>
      <c r="G67" s="182" t="s">
        <v>3</v>
      </c>
      <c r="H67" s="131">
        <f t="shared" si="14"/>
        <v>2.333333333333333</v>
      </c>
      <c r="I67" s="131">
        <v>36.9</v>
      </c>
      <c r="J67" s="131">
        <f t="shared" si="23"/>
        <v>1.8363799999999997</v>
      </c>
      <c r="K67" s="131">
        <f t="shared" si="26"/>
        <v>1.2931899999999998</v>
      </c>
      <c r="L67" s="131">
        <v>0.75</v>
      </c>
      <c r="M67" s="131">
        <f t="shared" si="15"/>
        <v>0.66200000000000003</v>
      </c>
      <c r="N67" s="131">
        <f t="shared" si="16"/>
        <v>0.88266666666666671</v>
      </c>
      <c r="O67" s="131">
        <v>0.04</v>
      </c>
      <c r="P67" s="131">
        <v>0.2</v>
      </c>
      <c r="Q67" s="131">
        <f t="shared" si="17"/>
        <v>0.10119402985074627</v>
      </c>
      <c r="R67" s="188">
        <f t="shared" si="21"/>
        <v>202.98220028534627</v>
      </c>
      <c r="S67" s="188">
        <f t="shared" si="18"/>
        <v>1.2956801120013602E-2</v>
      </c>
      <c r="T67" s="188">
        <f t="shared" si="19"/>
        <v>0.55555555555555558</v>
      </c>
      <c r="U67" s="188">
        <v>50.2</v>
      </c>
      <c r="V67" s="188">
        <v>0.61</v>
      </c>
      <c r="W67" s="188">
        <f>(U67/100+V67)/2</f>
        <v>0.55600000000000005</v>
      </c>
      <c r="X67" s="188"/>
      <c r="Y67" s="188">
        <v>0.45</v>
      </c>
      <c r="Z67" s="188">
        <f>(Y67+N67)/2</f>
        <v>0.66633333333333333</v>
      </c>
      <c r="AA67" s="188">
        <f>-14/125</f>
        <v>-0.112</v>
      </c>
      <c r="AB67" s="188">
        <f>AA67</f>
        <v>-0.112</v>
      </c>
      <c r="AC67" s="188">
        <f t="shared" si="22"/>
        <v>1.8530850630809861</v>
      </c>
      <c r="AD67" s="188" t="s">
        <v>223</v>
      </c>
      <c r="AE67" s="188"/>
      <c r="AF67" s="188">
        <v>1.77</v>
      </c>
      <c r="AG67" s="188"/>
      <c r="AH67" s="188">
        <v>3.38</v>
      </c>
      <c r="AI67" s="188">
        <f t="shared" si="20"/>
        <v>9.1292983349080606E-3</v>
      </c>
    </row>
    <row r="68" spans="4:35" ht="14">
      <c r="D68" s="164" t="s">
        <v>66</v>
      </c>
      <c r="E68" s="181">
        <v>4</v>
      </c>
      <c r="F68" s="181">
        <v>3</v>
      </c>
      <c r="G68" s="182" t="s">
        <v>3</v>
      </c>
      <c r="H68" s="131">
        <f t="shared" ref="H68:H99" si="27">1+(-2+E68+F68)/6</f>
        <v>1.8333333333333335</v>
      </c>
      <c r="I68" s="131">
        <v>31.3</v>
      </c>
      <c r="J68" s="131">
        <f t="shared" si="23"/>
        <v>1.4059266666666668</v>
      </c>
      <c r="K68" s="131">
        <f t="shared" si="26"/>
        <v>1.0779633333333334</v>
      </c>
      <c r="L68" s="131">
        <v>0.75</v>
      </c>
      <c r="M68" s="131">
        <f t="shared" ref="M68:M99" si="28">1-AH68/10</f>
        <v>0.54100000000000004</v>
      </c>
      <c r="N68" s="131">
        <f t="shared" ref="N68:N99" si="29">4*M68/3</f>
        <v>0.72133333333333338</v>
      </c>
      <c r="O68" s="131">
        <v>0.09</v>
      </c>
      <c r="P68" s="131">
        <v>0.2</v>
      </c>
      <c r="Q68" s="131">
        <f t="shared" ref="Q68:Q99" si="30">(O68/16.75+P68)/2</f>
        <v>0.10268656716417911</v>
      </c>
      <c r="R68" s="188">
        <f t="shared" si="21"/>
        <v>32.686732512984861</v>
      </c>
      <c r="S68" s="188">
        <f t="shared" ref="S68:S99" si="31">2.63/R68</f>
        <v>8.0460780194387058E-2</v>
      </c>
      <c r="T68" s="188">
        <f t="shared" ref="T68:T99" si="32">1-(H68-1)/3</f>
        <v>0.7222222222222221</v>
      </c>
      <c r="U68" s="188">
        <v>40.799999999999997</v>
      </c>
      <c r="V68" s="188">
        <f>1-0.698</f>
        <v>0.30200000000000005</v>
      </c>
      <c r="W68" s="188">
        <f>(U68/100+V68)/2</f>
        <v>0.35499999999999998</v>
      </c>
      <c r="X68" s="188"/>
      <c r="Y68" s="188">
        <v>0.32</v>
      </c>
      <c r="Z68" s="188">
        <f>(Y68+N68)/2</f>
        <v>0.52066666666666672</v>
      </c>
      <c r="AA68" s="188" t="s">
        <v>225</v>
      </c>
      <c r="AB68" s="188">
        <v>0.1</v>
      </c>
      <c r="AC68" s="188">
        <f t="shared" si="22"/>
        <v>2.0231347159795336</v>
      </c>
      <c r="AD68" s="188">
        <v>9.6999999999999993</v>
      </c>
      <c r="AE68" s="188">
        <v>16.3</v>
      </c>
      <c r="AF68" s="188">
        <v>4.47</v>
      </c>
      <c r="AG68" s="188"/>
      <c r="AH68" s="188">
        <v>4.59</v>
      </c>
      <c r="AI68" s="188">
        <f t="shared" ref="AI68:AI99" si="33">AC68/R68</f>
        <v>6.1894675926259683E-2</v>
      </c>
    </row>
    <row r="69" spans="4:35" ht="14">
      <c r="D69" s="164" t="s">
        <v>67</v>
      </c>
      <c r="E69" s="181">
        <v>1</v>
      </c>
      <c r="F69" s="181">
        <v>1</v>
      </c>
      <c r="G69" s="182" t="s">
        <v>8</v>
      </c>
      <c r="H69" s="131">
        <f t="shared" si="27"/>
        <v>1</v>
      </c>
      <c r="I69" s="131">
        <v>24</v>
      </c>
      <c r="J69" s="131">
        <f t="shared" si="23"/>
        <v>0.8448</v>
      </c>
      <c r="K69" s="131">
        <f t="shared" si="26"/>
        <v>0.75740000000000007</v>
      </c>
      <c r="L69" s="131">
        <v>0.67</v>
      </c>
      <c r="M69" s="131">
        <f t="shared" si="28"/>
        <v>0.16199999999999992</v>
      </c>
      <c r="N69" s="131">
        <f t="shared" si="29"/>
        <v>0.21599999999999989</v>
      </c>
      <c r="O69" s="131">
        <v>5.81</v>
      </c>
      <c r="P69" s="131">
        <v>0.8</v>
      </c>
      <c r="Q69" s="131">
        <f t="shared" si="30"/>
        <v>0.57343283582089555</v>
      </c>
      <c r="R69" s="188">
        <f t="shared" ref="R69:R100" si="34">EXP(H69*(K69+N69+Q69))</f>
        <v>4.6965717882816369</v>
      </c>
      <c r="S69" s="188">
        <f t="shared" si="31"/>
        <v>0.55998292340853451</v>
      </c>
      <c r="T69" s="188">
        <f t="shared" si="32"/>
        <v>1</v>
      </c>
      <c r="U69" s="188">
        <v>27</v>
      </c>
      <c r="V69" s="188">
        <f>1-0.885</f>
        <v>0.11499999999999999</v>
      </c>
      <c r="W69" s="188">
        <f>(U69/100+V69)/2</f>
        <v>0.1925</v>
      </c>
      <c r="X69" s="188">
        <v>0.81499999999999995</v>
      </c>
      <c r="Y69" s="188">
        <v>0.73</v>
      </c>
      <c r="Z69" s="188">
        <f>(Y69+X69+M69)/3</f>
        <v>0.56899999999999995</v>
      </c>
      <c r="AA69" s="188">
        <f>3/106</f>
        <v>2.8301886792452831E-2</v>
      </c>
      <c r="AB69" s="188">
        <f>AA69</f>
        <v>2.8301886792452831E-2</v>
      </c>
      <c r="AC69" s="188">
        <f t="shared" ref="AC69:AC100" si="35">EXP(T69*(AB69+Z69+W69))</f>
        <v>2.2029599475599579</v>
      </c>
      <c r="AD69" s="188">
        <v>15.5</v>
      </c>
      <c r="AE69" s="188">
        <v>5.7</v>
      </c>
      <c r="AF69" s="188">
        <v>81.83</v>
      </c>
      <c r="AG69" s="188"/>
      <c r="AH69" s="188">
        <v>8.3800000000000008</v>
      </c>
      <c r="AI69" s="188">
        <f t="shared" si="33"/>
        <v>0.46905701581237158</v>
      </c>
    </row>
    <row r="70" spans="4:35" ht="14">
      <c r="D70" s="164" t="s">
        <v>68</v>
      </c>
      <c r="E70" s="181">
        <v>1</v>
      </c>
      <c r="F70" s="181">
        <v>2</v>
      </c>
      <c r="G70" s="182" t="s">
        <v>8</v>
      </c>
      <c r="H70" s="131">
        <f t="shared" si="27"/>
        <v>1.1666666666666667</v>
      </c>
      <c r="I70" s="131">
        <v>32.799999999999997</v>
      </c>
      <c r="J70" s="131">
        <f t="shared" si="23"/>
        <v>1.5212266666666663</v>
      </c>
      <c r="K70" s="131">
        <f t="shared" si="26"/>
        <v>1.1356133333333331</v>
      </c>
      <c r="L70" s="131">
        <v>0.75</v>
      </c>
      <c r="M70" s="131">
        <f t="shared" si="28"/>
        <v>0.39800000000000002</v>
      </c>
      <c r="N70" s="131">
        <f t="shared" si="29"/>
        <v>0.53066666666666673</v>
      </c>
      <c r="O70" s="131">
        <v>0.14000000000000001</v>
      </c>
      <c r="P70" s="131">
        <v>0.2</v>
      </c>
      <c r="Q70" s="131">
        <f t="shared" si="30"/>
        <v>0.10417910447761194</v>
      </c>
      <c r="R70" s="188">
        <f t="shared" si="34"/>
        <v>7.8895225671340956</v>
      </c>
      <c r="S70" s="188">
        <f t="shared" si="31"/>
        <v>0.33335350493272742</v>
      </c>
      <c r="T70" s="188">
        <f t="shared" si="32"/>
        <v>0.94444444444444442</v>
      </c>
      <c r="U70" s="188">
        <v>39.4</v>
      </c>
      <c r="V70" s="188">
        <v>0.53300000000000003</v>
      </c>
      <c r="W70" s="188">
        <f>(U70/100+V70)/2</f>
        <v>0.46350000000000002</v>
      </c>
      <c r="X70" s="188">
        <v>0.38700000000000001</v>
      </c>
      <c r="Y70" s="188">
        <v>-0.35</v>
      </c>
      <c r="Z70" s="188">
        <f>(Y70+X70+M70)/3</f>
        <v>0.14500000000000002</v>
      </c>
      <c r="AA70" s="188" t="s">
        <v>225</v>
      </c>
      <c r="AB70" s="188">
        <v>0.1</v>
      </c>
      <c r="AC70" s="188">
        <f t="shared" si="35"/>
        <v>1.9525552295030149</v>
      </c>
      <c r="AD70" s="188">
        <v>28.5</v>
      </c>
      <c r="AE70" s="188">
        <v>11</v>
      </c>
      <c r="AF70" s="188">
        <v>24.23</v>
      </c>
      <c r="AG70" s="188"/>
      <c r="AH70" s="188">
        <v>6.02</v>
      </c>
      <c r="AI70" s="188">
        <f t="shared" si="33"/>
        <v>0.24748712141808213</v>
      </c>
    </row>
    <row r="71" spans="4:35" ht="14">
      <c r="D71" s="164" t="s">
        <v>69</v>
      </c>
      <c r="E71" s="181">
        <v>1</v>
      </c>
      <c r="F71" s="181">
        <v>2</v>
      </c>
      <c r="G71" s="182" t="s">
        <v>8</v>
      </c>
      <c r="H71" s="131">
        <f t="shared" si="27"/>
        <v>1.1666666666666667</v>
      </c>
      <c r="I71" s="131">
        <v>26</v>
      </c>
      <c r="J71" s="131">
        <f t="shared" si="23"/>
        <v>0.99853333333333349</v>
      </c>
      <c r="K71" s="131">
        <f t="shared" si="26"/>
        <v>0.99926666666666675</v>
      </c>
      <c r="L71" s="131">
        <v>1</v>
      </c>
      <c r="M71" s="131">
        <f t="shared" si="28"/>
        <v>0.20799999999999996</v>
      </c>
      <c r="N71" s="131">
        <f t="shared" si="29"/>
        <v>0.27733333333333327</v>
      </c>
      <c r="O71" s="131">
        <v>0.87</v>
      </c>
      <c r="P71" s="131">
        <v>0.2</v>
      </c>
      <c r="Q71" s="131">
        <f t="shared" si="30"/>
        <v>0.12597014925373134</v>
      </c>
      <c r="R71" s="188">
        <f t="shared" si="34"/>
        <v>5.1362941697854563</v>
      </c>
      <c r="S71" s="188">
        <f t="shared" si="31"/>
        <v>0.51204232332936173</v>
      </c>
      <c r="T71" s="188">
        <f t="shared" si="32"/>
        <v>0.94444444444444442</v>
      </c>
      <c r="U71" s="188">
        <v>33</v>
      </c>
      <c r="V71" s="188">
        <f>1-0.855</f>
        <v>0.14500000000000002</v>
      </c>
      <c r="W71" s="188">
        <f>(U71/100+V71)/2</f>
        <v>0.23750000000000002</v>
      </c>
      <c r="X71" s="188">
        <v>1.6539999999999999</v>
      </c>
      <c r="Y71" s="188">
        <v>1.6</v>
      </c>
      <c r="Z71" s="188">
        <f>(Y71+X71+M71)/3</f>
        <v>1.1539999999999999</v>
      </c>
      <c r="AA71" s="188">
        <f>9/104</f>
        <v>8.6538461538461536E-2</v>
      </c>
      <c r="AB71" s="188">
        <f>AA71</f>
        <v>8.6538461538461536E-2</v>
      </c>
      <c r="AC71" s="188">
        <f t="shared" si="35"/>
        <v>4.0387095138288451</v>
      </c>
      <c r="AD71" s="188">
        <v>20</v>
      </c>
      <c r="AE71" s="188">
        <v>17</v>
      </c>
      <c r="AF71" s="188">
        <v>10.787000000000001</v>
      </c>
      <c r="AG71" s="188"/>
      <c r="AH71" s="188">
        <v>7.92</v>
      </c>
      <c r="AI71" s="188">
        <f t="shared" si="33"/>
        <v>0.78630806186818203</v>
      </c>
    </row>
    <row r="72" spans="4:35" ht="14">
      <c r="D72" s="164" t="s">
        <v>70</v>
      </c>
      <c r="E72" s="181">
        <v>1</v>
      </c>
      <c r="F72" s="181">
        <v>2</v>
      </c>
      <c r="G72" s="182" t="s">
        <v>8</v>
      </c>
      <c r="H72" s="131">
        <f t="shared" si="27"/>
        <v>1.1666666666666667</v>
      </c>
      <c r="I72" s="131"/>
      <c r="J72" s="131">
        <f t="shared" si="23"/>
        <v>-1</v>
      </c>
      <c r="K72" s="131">
        <v>0.75</v>
      </c>
      <c r="L72" s="131">
        <v>0.75</v>
      </c>
      <c r="M72" s="131">
        <f t="shared" si="28"/>
        <v>0.39</v>
      </c>
      <c r="N72" s="131">
        <f t="shared" si="29"/>
        <v>0.52</v>
      </c>
      <c r="O72" s="131">
        <v>0.03</v>
      </c>
      <c r="P72" s="131">
        <v>0.2</v>
      </c>
      <c r="Q72" s="131">
        <f t="shared" si="30"/>
        <v>0.10089552238805971</v>
      </c>
      <c r="R72" s="188">
        <f t="shared" si="34"/>
        <v>4.9499531379389055</v>
      </c>
      <c r="S72" s="188">
        <f t="shared" si="31"/>
        <v>0.5313181613462904</v>
      </c>
      <c r="T72" s="188">
        <f t="shared" si="32"/>
        <v>0.94444444444444442</v>
      </c>
      <c r="U72" s="188"/>
      <c r="V72" s="189">
        <v>0.18</v>
      </c>
      <c r="W72" s="188">
        <f>V72</f>
        <v>0.18</v>
      </c>
      <c r="X72" s="188"/>
      <c r="Y72" s="188">
        <v>1</v>
      </c>
      <c r="Z72" s="188">
        <f>(Y72+N72)/2</f>
        <v>0.76</v>
      </c>
      <c r="AA72" s="188" t="s">
        <v>225</v>
      </c>
      <c r="AB72" s="188">
        <v>0.1</v>
      </c>
      <c r="AC72" s="188">
        <f t="shared" si="35"/>
        <v>2.6703838395806434</v>
      </c>
      <c r="AD72" s="188">
        <v>38</v>
      </c>
      <c r="AE72" s="188">
        <v>25</v>
      </c>
      <c r="AF72" s="188">
        <v>0.10299999999999999</v>
      </c>
      <c r="AG72" s="188"/>
      <c r="AH72" s="188">
        <v>6.1</v>
      </c>
      <c r="AI72" s="188">
        <f t="shared" si="33"/>
        <v>0.53947659001324522</v>
      </c>
    </row>
    <row r="73" spans="4:35" ht="14">
      <c r="D73" s="164" t="s">
        <v>71</v>
      </c>
      <c r="E73" s="181">
        <v>4</v>
      </c>
      <c r="F73" s="181">
        <v>4</v>
      </c>
      <c r="G73" s="182" t="s">
        <v>3</v>
      </c>
      <c r="H73" s="131">
        <f t="shared" si="27"/>
        <v>2</v>
      </c>
      <c r="I73" s="131">
        <v>42.4</v>
      </c>
      <c r="J73" s="131">
        <f t="shared" si="23"/>
        <v>2.2591466666666666</v>
      </c>
      <c r="K73" s="131">
        <f t="shared" ref="K73:K79" si="36">(J73+L73)/2</f>
        <v>1.5045733333333333</v>
      </c>
      <c r="L73" s="131">
        <v>0.75</v>
      </c>
      <c r="M73" s="131">
        <f t="shared" si="28"/>
        <v>0.39500000000000002</v>
      </c>
      <c r="N73" s="131">
        <f t="shared" si="29"/>
        <v>0.52666666666666673</v>
      </c>
      <c r="O73" s="131">
        <v>0.11</v>
      </c>
      <c r="P73" s="131">
        <v>0.2</v>
      </c>
      <c r="Q73" s="131">
        <f t="shared" si="30"/>
        <v>0.10328358208955224</v>
      </c>
      <c r="R73" s="188">
        <f t="shared" si="34"/>
        <v>71.453519699629794</v>
      </c>
      <c r="S73" s="188">
        <f t="shared" si="31"/>
        <v>3.6807144155470151E-2</v>
      </c>
      <c r="T73" s="188">
        <f t="shared" si="32"/>
        <v>0.66666666666666674</v>
      </c>
      <c r="U73" s="188">
        <v>55.1</v>
      </c>
      <c r="V73" s="188">
        <v>0.44</v>
      </c>
      <c r="W73" s="188">
        <f>(U73/100+V73)/2</f>
        <v>0.49550000000000005</v>
      </c>
      <c r="X73" s="188">
        <v>0.245</v>
      </c>
      <c r="Y73" s="188">
        <v>0.72</v>
      </c>
      <c r="Z73" s="188">
        <f>(Y73+X73+M73)/3</f>
        <v>0.45333333333333331</v>
      </c>
      <c r="AA73" s="188">
        <f>-6/119</f>
        <v>-5.0420168067226892E-2</v>
      </c>
      <c r="AB73" s="188">
        <f>AA73</f>
        <v>-5.0420168067226892E-2</v>
      </c>
      <c r="AC73" s="188">
        <f t="shared" si="35"/>
        <v>1.8201922186912765</v>
      </c>
      <c r="AD73" s="188">
        <v>54</v>
      </c>
      <c r="AE73" s="188">
        <v>4.0999999999999996</v>
      </c>
      <c r="AF73" s="188">
        <v>14.712999999999999</v>
      </c>
      <c r="AG73" s="188"/>
      <c r="AH73" s="188">
        <v>6.05</v>
      </c>
      <c r="AI73" s="188">
        <f t="shared" si="33"/>
        <v>2.5473793682142531E-2</v>
      </c>
    </row>
    <row r="74" spans="4:35" ht="14">
      <c r="D74" s="164" t="s">
        <v>72</v>
      </c>
      <c r="E74" s="181">
        <v>5</v>
      </c>
      <c r="F74" s="181">
        <v>5</v>
      </c>
      <c r="G74" s="182" t="s">
        <v>3</v>
      </c>
      <c r="H74" s="131">
        <f t="shared" si="27"/>
        <v>2.333333333333333</v>
      </c>
      <c r="I74" s="131">
        <v>30.3</v>
      </c>
      <c r="J74" s="131">
        <f t="shared" si="23"/>
        <v>1.3290600000000001</v>
      </c>
      <c r="K74" s="131">
        <f t="shared" si="36"/>
        <v>1.0395300000000001</v>
      </c>
      <c r="L74" s="131">
        <v>0.75</v>
      </c>
      <c r="M74" s="131">
        <f t="shared" si="28"/>
        <v>0.72099999999999997</v>
      </c>
      <c r="N74" s="131">
        <f t="shared" si="29"/>
        <v>0.96133333333333326</v>
      </c>
      <c r="O74" s="131">
        <v>7.0000000000000007E-2</v>
      </c>
      <c r="P74" s="131">
        <v>0.2</v>
      </c>
      <c r="Q74" s="131">
        <f t="shared" si="30"/>
        <v>0.10208955223880598</v>
      </c>
      <c r="R74" s="188">
        <f t="shared" si="34"/>
        <v>135.218240078863</v>
      </c>
      <c r="S74" s="188">
        <f t="shared" si="31"/>
        <v>1.9450038681660932E-2</v>
      </c>
      <c r="T74" s="188">
        <f t="shared" si="32"/>
        <v>0.55555555555555558</v>
      </c>
      <c r="U74" s="188">
        <v>39.4</v>
      </c>
      <c r="V74" s="188">
        <v>0.66</v>
      </c>
      <c r="W74" s="188">
        <f>(U74/100+V74)/2</f>
        <v>0.52700000000000002</v>
      </c>
      <c r="X74" s="188"/>
      <c r="Y74" s="188">
        <v>0.6</v>
      </c>
      <c r="Z74" s="188">
        <f>(Y74+N74)/2</f>
        <v>0.78066666666666662</v>
      </c>
      <c r="AA74" s="188">
        <f>13/111</f>
        <v>0.11711711711711711</v>
      </c>
      <c r="AB74" s="188">
        <f>AA74</f>
        <v>0.11711711711711711</v>
      </c>
      <c r="AC74" s="188">
        <f t="shared" si="35"/>
        <v>2.206806717797209</v>
      </c>
      <c r="AD74" s="188">
        <v>47</v>
      </c>
      <c r="AE74" s="188"/>
      <c r="AF74" s="188">
        <v>10.217000000000001</v>
      </c>
      <c r="AG74" s="188"/>
      <c r="AH74" s="188">
        <v>2.79</v>
      </c>
      <c r="AI74" s="188">
        <f t="shared" si="33"/>
        <v>1.6320333089013275E-2</v>
      </c>
    </row>
    <row r="75" spans="4:35" ht="14">
      <c r="D75" s="164" t="s">
        <v>73</v>
      </c>
      <c r="E75" s="181">
        <v>4</v>
      </c>
      <c r="F75" s="181">
        <v>4</v>
      </c>
      <c r="G75" s="182" t="s">
        <v>3</v>
      </c>
      <c r="H75" s="131">
        <f t="shared" si="27"/>
        <v>2</v>
      </c>
      <c r="I75" s="131">
        <v>28</v>
      </c>
      <c r="J75" s="131">
        <f t="shared" si="23"/>
        <v>1.1522666666666668</v>
      </c>
      <c r="K75" s="131">
        <f t="shared" si="36"/>
        <v>0.95113333333333339</v>
      </c>
      <c r="L75" s="131">
        <v>0.75</v>
      </c>
      <c r="M75" s="131">
        <f t="shared" si="28"/>
        <v>0.80099999999999993</v>
      </c>
      <c r="N75" s="131">
        <f t="shared" si="29"/>
        <v>1.0679999999999998</v>
      </c>
      <c r="O75" s="131">
        <v>0.04</v>
      </c>
      <c r="P75" s="131">
        <v>0.2</v>
      </c>
      <c r="Q75" s="131">
        <f t="shared" si="30"/>
        <v>0.10119402985074627</v>
      </c>
      <c r="R75" s="188">
        <f t="shared" si="34"/>
        <v>69.453309869173054</v>
      </c>
      <c r="S75" s="188">
        <f t="shared" si="31"/>
        <v>3.7867165797483886E-2</v>
      </c>
      <c r="T75" s="188">
        <f t="shared" si="32"/>
        <v>0.66666666666666674</v>
      </c>
      <c r="U75" s="188"/>
      <c r="V75" s="188">
        <v>0.71099999999999997</v>
      </c>
      <c r="W75" s="188">
        <f>V75</f>
        <v>0.71099999999999997</v>
      </c>
      <c r="X75" s="188"/>
      <c r="Y75" s="188">
        <v>0.52</v>
      </c>
      <c r="Z75" s="188">
        <f>(Y75+N75)/2</f>
        <v>0.79399999999999993</v>
      </c>
      <c r="AA75" s="188" t="s">
        <v>225</v>
      </c>
      <c r="AB75" s="188">
        <v>0.3</v>
      </c>
      <c r="AC75" s="188">
        <f t="shared" si="35"/>
        <v>3.3312024447513235</v>
      </c>
      <c r="AD75" s="188" t="s">
        <v>223</v>
      </c>
      <c r="AE75" s="188"/>
      <c r="AF75" s="188">
        <v>1.53</v>
      </c>
      <c r="AG75" s="188"/>
      <c r="AH75" s="188">
        <v>1.99</v>
      </c>
      <c r="AI75" s="188">
        <f t="shared" si="33"/>
        <v>4.7963192121818259E-2</v>
      </c>
    </row>
    <row r="76" spans="4:35" ht="14">
      <c r="D76" s="164" t="s">
        <v>74</v>
      </c>
      <c r="E76" s="181">
        <v>2</v>
      </c>
      <c r="F76" s="181">
        <v>3</v>
      </c>
      <c r="G76" s="182" t="s">
        <v>8</v>
      </c>
      <c r="H76" s="131">
        <f t="shared" si="27"/>
        <v>1.5</v>
      </c>
      <c r="I76" s="131">
        <v>33.799999999999997</v>
      </c>
      <c r="J76" s="131">
        <f t="shared" si="23"/>
        <v>1.5980933333333329</v>
      </c>
      <c r="K76" s="131">
        <f t="shared" si="36"/>
        <v>1.1740466666666665</v>
      </c>
      <c r="L76" s="131">
        <v>0.75</v>
      </c>
      <c r="M76" s="131">
        <f t="shared" si="28"/>
        <v>0.39500000000000002</v>
      </c>
      <c r="N76" s="131">
        <f t="shared" si="29"/>
        <v>0.52666666666666673</v>
      </c>
      <c r="O76" s="131">
        <v>7.0000000000000007E-2</v>
      </c>
      <c r="P76" s="131">
        <v>0.2</v>
      </c>
      <c r="Q76" s="131">
        <f t="shared" si="30"/>
        <v>0.10208955223880598</v>
      </c>
      <c r="R76" s="188">
        <f t="shared" si="34"/>
        <v>14.942422697297097</v>
      </c>
      <c r="S76" s="188">
        <f t="shared" si="31"/>
        <v>0.17600894133959516</v>
      </c>
      <c r="T76" s="188">
        <f t="shared" si="32"/>
        <v>0.83333333333333337</v>
      </c>
      <c r="U76" s="188">
        <v>43.2</v>
      </c>
      <c r="V76" s="188">
        <v>0.38900000000000001</v>
      </c>
      <c r="W76" s="188">
        <f t="shared" ref="W76:W83" si="37">(U76/100+V76)/2</f>
        <v>0.41050000000000003</v>
      </c>
      <c r="X76" s="188">
        <v>0.56999999999999995</v>
      </c>
      <c r="Y76" s="188">
        <v>0.47</v>
      </c>
      <c r="Z76" s="188">
        <f>(Y76+X76+M76)/3</f>
        <v>0.47833333333333333</v>
      </c>
      <c r="AA76" s="188" t="s">
        <v>225</v>
      </c>
      <c r="AB76" s="188">
        <v>0.1</v>
      </c>
      <c r="AC76" s="188">
        <f t="shared" si="35"/>
        <v>2.2796633482265425</v>
      </c>
      <c r="AD76" s="188" t="s">
        <v>223</v>
      </c>
      <c r="AE76" s="188">
        <v>11</v>
      </c>
      <c r="AF76" s="188">
        <v>0.78400000000000003</v>
      </c>
      <c r="AG76" s="188"/>
      <c r="AH76" s="188">
        <v>6.05</v>
      </c>
      <c r="AI76" s="188">
        <f t="shared" si="33"/>
        <v>0.15256316826312952</v>
      </c>
    </row>
    <row r="77" spans="4:35" ht="14">
      <c r="D77" s="164" t="s">
        <v>75</v>
      </c>
      <c r="E77" s="181">
        <v>4</v>
      </c>
      <c r="F77" s="181">
        <v>5</v>
      </c>
      <c r="G77" s="182" t="s">
        <v>3</v>
      </c>
      <c r="H77" s="131">
        <f t="shared" si="27"/>
        <v>2.166666666666667</v>
      </c>
      <c r="I77" s="131">
        <v>47.7</v>
      </c>
      <c r="J77" s="131">
        <f t="shared" si="23"/>
        <v>2.6665400000000004</v>
      </c>
      <c r="K77" s="131">
        <f t="shared" si="36"/>
        <v>1.7082700000000002</v>
      </c>
      <c r="L77" s="131">
        <v>0.75</v>
      </c>
      <c r="M77" s="131">
        <f t="shared" si="28"/>
        <v>0.6</v>
      </c>
      <c r="N77" s="131">
        <f t="shared" si="29"/>
        <v>0.79999999999999993</v>
      </c>
      <c r="O77" s="131">
        <v>0.06</v>
      </c>
      <c r="P77" s="131">
        <v>0.2</v>
      </c>
      <c r="Q77" s="131">
        <f t="shared" si="30"/>
        <v>0.1017910447761194</v>
      </c>
      <c r="R77" s="188">
        <f t="shared" si="34"/>
        <v>285.75427513963666</v>
      </c>
      <c r="S77" s="188">
        <f t="shared" si="31"/>
        <v>9.20371182098614E-3</v>
      </c>
      <c r="T77" s="188">
        <f t="shared" si="32"/>
        <v>0.61111111111111094</v>
      </c>
      <c r="U77" s="188">
        <v>59.2</v>
      </c>
      <c r="V77" s="188">
        <f>1-0.404</f>
        <v>0.59599999999999997</v>
      </c>
      <c r="W77" s="188">
        <f t="shared" si="37"/>
        <v>0.59400000000000008</v>
      </c>
      <c r="X77" s="188"/>
      <c r="Y77" s="188">
        <v>0.39</v>
      </c>
      <c r="Z77" s="188">
        <f>(Y77+N77)/2</f>
        <v>0.59499999999999997</v>
      </c>
      <c r="AA77" s="188">
        <f>16/104</f>
        <v>0.15384615384615385</v>
      </c>
      <c r="AB77" s="188">
        <f t="shared" ref="AB77:AB82" si="38">AA77</f>
        <v>0.15384615384615385</v>
      </c>
      <c r="AC77" s="188">
        <f t="shared" si="35"/>
        <v>2.271926625284701</v>
      </c>
      <c r="AD77" s="188">
        <v>80</v>
      </c>
      <c r="AE77" s="188">
        <v>40.6</v>
      </c>
      <c r="AF77" s="188">
        <v>9.6999999999999993</v>
      </c>
      <c r="AG77" s="188"/>
      <c r="AH77" s="188">
        <v>4</v>
      </c>
      <c r="AI77" s="188">
        <f t="shared" si="33"/>
        <v>7.9506303945041639E-3</v>
      </c>
    </row>
    <row r="78" spans="4:35" ht="14">
      <c r="D78" s="164" t="s">
        <v>76</v>
      </c>
      <c r="E78" s="181">
        <v>4</v>
      </c>
      <c r="F78" s="181">
        <v>4</v>
      </c>
      <c r="G78" s="182" t="s">
        <v>3</v>
      </c>
      <c r="H78" s="131">
        <f t="shared" si="27"/>
        <v>2</v>
      </c>
      <c r="I78" s="131">
        <v>43.8</v>
      </c>
      <c r="J78" s="131">
        <f t="shared" si="23"/>
        <v>2.3667599999999998</v>
      </c>
      <c r="K78" s="131">
        <f t="shared" si="36"/>
        <v>1.5583799999999999</v>
      </c>
      <c r="L78" s="131">
        <v>0.75</v>
      </c>
      <c r="M78" s="131">
        <f t="shared" si="28"/>
        <v>0.42400000000000004</v>
      </c>
      <c r="N78" s="131">
        <f t="shared" si="29"/>
        <v>0.56533333333333335</v>
      </c>
      <c r="O78" s="131">
        <v>0.08</v>
      </c>
      <c r="P78" s="131">
        <v>0.2</v>
      </c>
      <c r="Q78" s="131">
        <f t="shared" si="30"/>
        <v>0.10238805970149255</v>
      </c>
      <c r="R78" s="188">
        <f t="shared" si="34"/>
        <v>85.815769736631452</v>
      </c>
      <c r="S78" s="188">
        <f t="shared" si="31"/>
        <v>3.0647047833649552E-2</v>
      </c>
      <c r="T78" s="188">
        <f t="shared" si="32"/>
        <v>0.66666666666666674</v>
      </c>
      <c r="U78" s="188">
        <v>57.7</v>
      </c>
      <c r="V78" s="188">
        <v>0.39600000000000002</v>
      </c>
      <c r="W78" s="188">
        <f t="shared" si="37"/>
        <v>0.48650000000000004</v>
      </c>
      <c r="X78" s="188">
        <v>0.29599999999999999</v>
      </c>
      <c r="Y78" s="188">
        <v>0.65</v>
      </c>
      <c r="Z78" s="188">
        <f t="shared" ref="Z78:Z83" si="39">(Y78+X78+M78)/3</f>
        <v>0.45666666666666672</v>
      </c>
      <c r="AA78" s="188">
        <f>-3/119</f>
        <v>-2.5210084033613446E-2</v>
      </c>
      <c r="AB78" s="188">
        <f t="shared" si="38"/>
        <v>-2.5210084033613446E-2</v>
      </c>
      <c r="AC78" s="188">
        <f t="shared" si="35"/>
        <v>1.8440625678971865</v>
      </c>
      <c r="AD78" s="188">
        <v>65</v>
      </c>
      <c r="AE78" s="188">
        <v>4.8</v>
      </c>
      <c r="AF78" s="188">
        <v>8.2149999999999999</v>
      </c>
      <c r="AG78" s="188"/>
      <c r="AH78" s="188">
        <v>5.76</v>
      </c>
      <c r="AI78" s="188">
        <f t="shared" si="33"/>
        <v>2.1488621188816618E-2</v>
      </c>
    </row>
    <row r="79" spans="4:35" ht="14">
      <c r="D79" s="164" t="s">
        <v>77</v>
      </c>
      <c r="E79" s="181">
        <v>1</v>
      </c>
      <c r="F79" s="181">
        <v>1</v>
      </c>
      <c r="G79" s="182" t="s">
        <v>8</v>
      </c>
      <c r="H79" s="131">
        <f t="shared" si="27"/>
        <v>1</v>
      </c>
      <c r="I79" s="131">
        <v>22.6</v>
      </c>
      <c r="J79" s="131">
        <f t="shared" si="23"/>
        <v>0.73718666666666688</v>
      </c>
      <c r="K79" s="131">
        <f t="shared" si="36"/>
        <v>0.86859333333333344</v>
      </c>
      <c r="L79" s="183">
        <v>1</v>
      </c>
      <c r="M79" s="131">
        <f t="shared" si="28"/>
        <v>0.27900000000000003</v>
      </c>
      <c r="N79" s="131">
        <f t="shared" si="29"/>
        <v>0.37200000000000005</v>
      </c>
      <c r="O79" s="131">
        <v>0.44</v>
      </c>
      <c r="P79" s="131">
        <v>0.4</v>
      </c>
      <c r="Q79" s="131">
        <f t="shared" si="30"/>
        <v>0.21313432835820897</v>
      </c>
      <c r="R79" s="188">
        <f t="shared" si="34"/>
        <v>4.279035619643369</v>
      </c>
      <c r="S79" s="188">
        <f t="shared" si="31"/>
        <v>0.61462447003869392</v>
      </c>
      <c r="T79" s="188">
        <f t="shared" si="32"/>
        <v>1</v>
      </c>
      <c r="U79" s="188">
        <v>24.7</v>
      </c>
      <c r="V79" s="188">
        <f>1-0.805</f>
        <v>0.19499999999999995</v>
      </c>
      <c r="W79" s="188">
        <f t="shared" si="37"/>
        <v>0.22099999999999997</v>
      </c>
      <c r="X79" s="188">
        <v>0.82599999999999996</v>
      </c>
      <c r="Y79" s="188">
        <v>0.86</v>
      </c>
      <c r="Z79" s="188">
        <f t="shared" si="39"/>
        <v>0.65499999999999992</v>
      </c>
      <c r="AA79" s="188">
        <f>-9/97</f>
        <v>-9.2783505154639179E-2</v>
      </c>
      <c r="AB79" s="188">
        <f t="shared" si="38"/>
        <v>-9.2783505154639179E-2</v>
      </c>
      <c r="AC79" s="188">
        <f t="shared" si="35"/>
        <v>2.1885002564846596</v>
      </c>
      <c r="AD79" s="188">
        <v>13.9</v>
      </c>
      <c r="AE79" s="188">
        <v>10.9</v>
      </c>
      <c r="AF79" s="188">
        <v>9.9849999999999994</v>
      </c>
      <c r="AG79" s="188"/>
      <c r="AH79" s="188">
        <v>7.21</v>
      </c>
      <c r="AI79" s="188">
        <f t="shared" si="33"/>
        <v>0.51144707616784402</v>
      </c>
    </row>
    <row r="80" spans="4:35" ht="14">
      <c r="D80" s="164" t="s">
        <v>78</v>
      </c>
      <c r="E80" s="181">
        <v>1</v>
      </c>
      <c r="F80" s="181">
        <v>1</v>
      </c>
      <c r="G80" s="182" t="s">
        <v>8</v>
      </c>
      <c r="H80" s="131">
        <f t="shared" si="27"/>
        <v>1</v>
      </c>
      <c r="I80" s="131"/>
      <c r="J80" s="131">
        <f t="shared" si="23"/>
        <v>-1</v>
      </c>
      <c r="K80" s="131">
        <v>0.67</v>
      </c>
      <c r="L80" s="131">
        <v>0.67</v>
      </c>
      <c r="M80" s="131">
        <f t="shared" si="28"/>
        <v>3.499999999999992E-2</v>
      </c>
      <c r="N80" s="131">
        <f t="shared" si="29"/>
        <v>4.6666666666666558E-2</v>
      </c>
      <c r="O80" s="131">
        <v>0.08</v>
      </c>
      <c r="P80" s="131">
        <v>0.2</v>
      </c>
      <c r="Q80" s="131">
        <f t="shared" si="30"/>
        <v>0.10238805970149255</v>
      </c>
      <c r="R80" s="188">
        <f t="shared" si="34"/>
        <v>2.2683546079790906</v>
      </c>
      <c r="S80" s="188">
        <f t="shared" si="31"/>
        <v>1.1594307127945505</v>
      </c>
      <c r="T80" s="188">
        <f t="shared" si="32"/>
        <v>1</v>
      </c>
      <c r="U80" s="188">
        <v>28</v>
      </c>
      <c r="V80" s="188">
        <f>1-0.869</f>
        <v>0.13100000000000001</v>
      </c>
      <c r="W80" s="188">
        <f t="shared" si="37"/>
        <v>0.20550000000000002</v>
      </c>
      <c r="X80" s="188">
        <v>1.3</v>
      </c>
      <c r="Y80" s="188">
        <v>0.76</v>
      </c>
      <c r="Z80" s="188">
        <f t="shared" si="39"/>
        <v>0.69833333333333325</v>
      </c>
      <c r="AA80" s="188">
        <f>-59/101</f>
        <v>-0.58415841584158412</v>
      </c>
      <c r="AB80" s="188">
        <f t="shared" si="38"/>
        <v>-0.58415841584158412</v>
      </c>
      <c r="AC80" s="188">
        <f t="shared" si="35"/>
        <v>1.3766801569467531</v>
      </c>
      <c r="AD80" s="188" t="s">
        <v>223</v>
      </c>
      <c r="AE80" s="188">
        <v>6</v>
      </c>
      <c r="AF80" s="188">
        <v>0.31900000000000001</v>
      </c>
      <c r="AG80" s="188"/>
      <c r="AH80" s="188">
        <v>9.65</v>
      </c>
      <c r="AI80" s="188">
        <f t="shared" si="33"/>
        <v>0.60690694131516632</v>
      </c>
    </row>
    <row r="81" spans="4:35" ht="14">
      <c r="D81" s="164" t="s">
        <v>79</v>
      </c>
      <c r="E81" s="181">
        <v>2</v>
      </c>
      <c r="F81" s="181">
        <v>3</v>
      </c>
      <c r="G81" s="182" t="s">
        <v>8</v>
      </c>
      <c r="H81" s="131">
        <f t="shared" si="27"/>
        <v>1.5</v>
      </c>
      <c r="I81" s="131">
        <v>31.1</v>
      </c>
      <c r="J81" s="131">
        <f>16/15-1</f>
        <v>6.6666666666666652E-2</v>
      </c>
      <c r="K81" s="131">
        <f t="shared" ref="K81:K92" si="40">(J81+L81)/2</f>
        <v>0.53333333333333333</v>
      </c>
      <c r="L81" s="131">
        <v>1</v>
      </c>
      <c r="M81" s="131">
        <f t="shared" si="28"/>
        <v>0.27200000000000002</v>
      </c>
      <c r="N81" s="131">
        <f t="shared" si="29"/>
        <v>0.36266666666666669</v>
      </c>
      <c r="O81" s="131">
        <v>2.34</v>
      </c>
      <c r="P81" s="131">
        <v>0.6</v>
      </c>
      <c r="Q81" s="131">
        <f t="shared" si="30"/>
        <v>0.36985074626865672</v>
      </c>
      <c r="R81" s="188">
        <f t="shared" si="34"/>
        <v>6.6777167111017057</v>
      </c>
      <c r="S81" s="188">
        <f t="shared" si="31"/>
        <v>0.39384719564812087</v>
      </c>
      <c r="T81" s="188">
        <f t="shared" si="32"/>
        <v>0.83333333333333337</v>
      </c>
      <c r="U81" s="188">
        <v>36.799999999999997</v>
      </c>
      <c r="V81" s="188">
        <v>0.48099999999999998</v>
      </c>
      <c r="W81" s="188">
        <f t="shared" si="37"/>
        <v>0.42449999999999999</v>
      </c>
      <c r="X81" s="188">
        <v>0.51600000000000001</v>
      </c>
      <c r="Y81" s="188">
        <v>0.22</v>
      </c>
      <c r="Z81" s="188">
        <f t="shared" si="39"/>
        <v>0.33600000000000002</v>
      </c>
      <c r="AA81" s="188">
        <f>25/151</f>
        <v>0.16556291390728478</v>
      </c>
      <c r="AB81" s="188">
        <f t="shared" si="38"/>
        <v>0.16556291390728478</v>
      </c>
      <c r="AC81" s="188">
        <f t="shared" si="35"/>
        <v>2.1634822901805837</v>
      </c>
      <c r="AD81" s="188">
        <v>25</v>
      </c>
      <c r="AE81" s="188">
        <v>9.8000000000000007</v>
      </c>
      <c r="AF81" s="188">
        <v>1215</v>
      </c>
      <c r="AG81" s="188"/>
      <c r="AH81" s="188">
        <v>7.28</v>
      </c>
      <c r="AI81" s="188">
        <f t="shared" si="33"/>
        <v>0.32398533567376314</v>
      </c>
    </row>
    <row r="82" spans="4:35" ht="14">
      <c r="D82" s="164" t="s">
        <v>80</v>
      </c>
      <c r="E82" s="181">
        <v>2</v>
      </c>
      <c r="F82" s="181">
        <v>3</v>
      </c>
      <c r="G82" s="182" t="s">
        <v>8</v>
      </c>
      <c r="H82" s="131">
        <f t="shared" si="27"/>
        <v>1.5</v>
      </c>
      <c r="I82" s="131">
        <v>29.9</v>
      </c>
      <c r="J82" s="131">
        <f t="shared" ref="J82:J101" si="41">1.153*I82/15-1</f>
        <v>1.2983133333333332</v>
      </c>
      <c r="K82" s="131">
        <f t="shared" si="40"/>
        <v>1.1491566666666666</v>
      </c>
      <c r="L82" s="131">
        <v>1</v>
      </c>
      <c r="M82" s="131">
        <f t="shared" si="28"/>
        <v>0.34699999999999998</v>
      </c>
      <c r="N82" s="131">
        <f t="shared" si="29"/>
        <v>0.46266666666666662</v>
      </c>
      <c r="O82" s="131">
        <v>0.86</v>
      </c>
      <c r="P82" s="131">
        <v>0.6</v>
      </c>
      <c r="Q82" s="131">
        <f t="shared" si="30"/>
        <v>0.32567164179104474</v>
      </c>
      <c r="R82" s="188">
        <f t="shared" si="34"/>
        <v>18.287951639900584</v>
      </c>
      <c r="S82" s="188">
        <f t="shared" si="31"/>
        <v>0.143810529018563</v>
      </c>
      <c r="T82" s="188">
        <f t="shared" si="32"/>
        <v>0.83333333333333337</v>
      </c>
      <c r="U82" s="188">
        <v>36.799999999999997</v>
      </c>
      <c r="V82" s="188">
        <v>0.4</v>
      </c>
      <c r="W82" s="188">
        <f t="shared" si="37"/>
        <v>0.38400000000000001</v>
      </c>
      <c r="X82" s="188">
        <v>0.245</v>
      </c>
      <c r="Y82" s="188">
        <f>1-0.64</f>
        <v>0.36</v>
      </c>
      <c r="Z82" s="188">
        <f t="shared" si="39"/>
        <v>0.3173333333333333</v>
      </c>
      <c r="AA82" s="188">
        <f>-5/135</f>
        <v>-3.7037037037037035E-2</v>
      </c>
      <c r="AB82" s="188">
        <f t="shared" si="38"/>
        <v>-3.7037037037037035E-2</v>
      </c>
      <c r="AC82" s="188">
        <f t="shared" si="35"/>
        <v>1.7394696134682293</v>
      </c>
      <c r="AD82" s="188">
        <v>13.33</v>
      </c>
      <c r="AE82" s="188">
        <v>6.7</v>
      </c>
      <c r="AF82" s="188">
        <v>237</v>
      </c>
      <c r="AG82" s="188"/>
      <c r="AH82" s="188">
        <v>6.53</v>
      </c>
      <c r="AI82" s="188">
        <f t="shared" si="33"/>
        <v>9.5115606587293303E-2</v>
      </c>
    </row>
    <row r="83" spans="4:35" ht="14">
      <c r="D83" s="164" t="s">
        <v>81</v>
      </c>
      <c r="E83" s="181">
        <v>6</v>
      </c>
      <c r="F83" s="181">
        <v>6</v>
      </c>
      <c r="G83" s="182" t="s">
        <v>4</v>
      </c>
      <c r="H83" s="131">
        <f t="shared" si="27"/>
        <v>2.666666666666667</v>
      </c>
      <c r="I83" s="131">
        <v>29.6</v>
      </c>
      <c r="J83" s="131">
        <f t="shared" si="41"/>
        <v>1.2752533333333336</v>
      </c>
      <c r="K83" s="131">
        <f t="shared" si="40"/>
        <v>1.3042933333333333</v>
      </c>
      <c r="L83" s="131">
        <f>4/3</f>
        <v>1.3333333333333333</v>
      </c>
      <c r="M83" s="131">
        <f t="shared" si="28"/>
        <v>0.80600000000000005</v>
      </c>
      <c r="N83" s="131">
        <f t="shared" si="29"/>
        <v>1.0746666666666667</v>
      </c>
      <c r="O83" s="131">
        <v>0.62</v>
      </c>
      <c r="P83" s="131">
        <v>0.6</v>
      </c>
      <c r="Q83" s="131">
        <f t="shared" si="30"/>
        <v>0.31850746268656716</v>
      </c>
      <c r="R83" s="188">
        <f t="shared" si="34"/>
        <v>1330.4154849954966</v>
      </c>
      <c r="S83" s="188">
        <f t="shared" si="31"/>
        <v>1.9768260589727743E-3</v>
      </c>
      <c r="T83" s="188">
        <f t="shared" si="32"/>
        <v>0.44444444444444431</v>
      </c>
      <c r="U83" s="188">
        <v>44.5</v>
      </c>
      <c r="V83" s="188">
        <f>0.298</f>
        <v>0.29799999999999999</v>
      </c>
      <c r="W83" s="188">
        <f t="shared" si="37"/>
        <v>0.3715</v>
      </c>
      <c r="X83" s="188">
        <v>0.11600000000000001</v>
      </c>
      <c r="Y83" s="188">
        <v>0.75</v>
      </c>
      <c r="Z83" s="188">
        <f t="shared" si="39"/>
        <v>0.55733333333333335</v>
      </c>
      <c r="AA83" s="188">
        <f>4/119</f>
        <v>3.3613445378151259E-2</v>
      </c>
      <c r="AB83" s="188">
        <f>(AA83+1)/2</f>
        <v>0.51680672268907568</v>
      </c>
      <c r="AC83" s="188">
        <f t="shared" si="35"/>
        <v>1.9012407351821752</v>
      </c>
      <c r="AD83" s="188">
        <v>18.7</v>
      </c>
      <c r="AE83" s="188">
        <v>15.3</v>
      </c>
      <c r="AF83" s="188">
        <v>76</v>
      </c>
      <c r="AG83" s="188"/>
      <c r="AH83" s="188">
        <v>1.94</v>
      </c>
      <c r="AI83" s="188">
        <f t="shared" si="33"/>
        <v>1.4290578820109049E-3</v>
      </c>
    </row>
    <row r="84" spans="4:35" ht="14">
      <c r="D84" s="164" t="s">
        <v>82</v>
      </c>
      <c r="E84" s="181">
        <v>5</v>
      </c>
      <c r="F84" s="181">
        <v>6</v>
      </c>
      <c r="G84" s="182" t="s">
        <v>4</v>
      </c>
      <c r="H84" s="131">
        <f t="shared" si="27"/>
        <v>2.5</v>
      </c>
      <c r="I84" s="131">
        <v>25.7</v>
      </c>
      <c r="J84" s="131">
        <f t="shared" si="41"/>
        <v>0.97547333333333341</v>
      </c>
      <c r="K84" s="131">
        <f t="shared" si="40"/>
        <v>0.86273666666666671</v>
      </c>
      <c r="L84" s="131">
        <v>0.75</v>
      </c>
      <c r="M84" s="131">
        <f t="shared" si="28"/>
        <v>0.6</v>
      </c>
      <c r="N84" s="131">
        <f t="shared" si="29"/>
        <v>0.79999999999999993</v>
      </c>
      <c r="O84" s="131">
        <v>0.5</v>
      </c>
      <c r="P84" s="131">
        <v>0.2</v>
      </c>
      <c r="Q84" s="131">
        <f t="shared" si="30"/>
        <v>0.11492537313432837</v>
      </c>
      <c r="R84" s="188">
        <f t="shared" si="34"/>
        <v>85.127922819845224</v>
      </c>
      <c r="S84" s="188">
        <f t="shared" si="31"/>
        <v>3.0894680768445672E-2</v>
      </c>
      <c r="T84" s="188">
        <f t="shared" si="32"/>
        <v>0.5</v>
      </c>
      <c r="U84" s="188"/>
      <c r="V84" s="188">
        <v>0.53</v>
      </c>
      <c r="W84" s="188">
        <f>V84</f>
        <v>0.53</v>
      </c>
      <c r="X84" s="188"/>
      <c r="Y84" s="188">
        <v>0.04</v>
      </c>
      <c r="Z84" s="188">
        <f>(Y84+N84)/2</f>
        <v>0.42</v>
      </c>
      <c r="AA84" s="188" t="s">
        <v>225</v>
      </c>
      <c r="AB84" s="188">
        <v>0.1</v>
      </c>
      <c r="AC84" s="188">
        <f t="shared" si="35"/>
        <v>1.6904588483790914</v>
      </c>
      <c r="AD84" s="188">
        <v>25</v>
      </c>
      <c r="AE84" s="188">
        <v>15</v>
      </c>
      <c r="AF84" s="188">
        <v>33.299999999999997</v>
      </c>
      <c r="AG84" s="188"/>
      <c r="AH84" s="188">
        <v>4</v>
      </c>
      <c r="AI84" s="188">
        <f t="shared" si="33"/>
        <v>1.985786557903663E-2</v>
      </c>
    </row>
    <row r="85" spans="4:35" ht="14">
      <c r="D85" s="164" t="s">
        <v>83</v>
      </c>
      <c r="E85" s="181">
        <v>1</v>
      </c>
      <c r="F85" s="181">
        <v>1</v>
      </c>
      <c r="G85" s="182" t="s">
        <v>8</v>
      </c>
      <c r="H85" s="131">
        <f t="shared" si="27"/>
        <v>1</v>
      </c>
      <c r="I85" s="131">
        <v>27.2</v>
      </c>
      <c r="J85" s="131">
        <f t="shared" si="41"/>
        <v>1.0907733333333334</v>
      </c>
      <c r="K85" s="131">
        <f t="shared" si="40"/>
        <v>0.92038666666666669</v>
      </c>
      <c r="L85" s="131">
        <v>0.75</v>
      </c>
      <c r="M85" s="131">
        <f t="shared" si="28"/>
        <v>0.12100000000000011</v>
      </c>
      <c r="N85" s="131">
        <f t="shared" si="29"/>
        <v>0.16133333333333347</v>
      </c>
      <c r="O85" s="131">
        <v>0.53</v>
      </c>
      <c r="P85" s="131">
        <v>0.2</v>
      </c>
      <c r="Q85" s="131">
        <f t="shared" si="30"/>
        <v>0.11582089552238807</v>
      </c>
      <c r="R85" s="188">
        <f t="shared" si="34"/>
        <v>3.3119624388189211</v>
      </c>
      <c r="S85" s="188">
        <f t="shared" si="31"/>
        <v>0.79409113134081444</v>
      </c>
      <c r="T85" s="188">
        <f t="shared" si="32"/>
        <v>1</v>
      </c>
      <c r="U85" s="188">
        <v>33.9</v>
      </c>
      <c r="V85" s="188">
        <f>1-0.895</f>
        <v>0.10499999999999998</v>
      </c>
      <c r="W85" s="188">
        <f t="shared" ref="W85:W92" si="42">(U85/100+V85)/2</f>
        <v>0.22199999999999998</v>
      </c>
      <c r="X85" s="188">
        <v>1.07</v>
      </c>
      <c r="Y85" s="188">
        <v>0.9</v>
      </c>
      <c r="Z85" s="188">
        <f t="shared" ref="Z85:Z92" si="43">(Y85+X85+M85)/3</f>
        <v>0.69700000000000006</v>
      </c>
      <c r="AA85" s="188">
        <f>-8/108</f>
        <v>-7.407407407407407E-2</v>
      </c>
      <c r="AB85" s="188">
        <f>AA85</f>
        <v>-7.407407407407407E-2</v>
      </c>
      <c r="AC85" s="188">
        <f t="shared" si="35"/>
        <v>2.3278053781557682</v>
      </c>
      <c r="AD85" s="188">
        <v>5.5</v>
      </c>
      <c r="AE85" s="188">
        <v>14.3</v>
      </c>
      <c r="AF85" s="188">
        <v>4.5880000000000001</v>
      </c>
      <c r="AG85" s="188"/>
      <c r="AH85" s="188">
        <v>8.7899999999999991</v>
      </c>
      <c r="AI85" s="188">
        <f t="shared" si="33"/>
        <v>0.70284775904218488</v>
      </c>
    </row>
    <row r="86" spans="4:35" ht="14">
      <c r="D86" s="164" t="s">
        <v>84</v>
      </c>
      <c r="E86" s="181">
        <v>1</v>
      </c>
      <c r="F86" s="181">
        <v>2</v>
      </c>
      <c r="G86" s="182" t="s">
        <v>8</v>
      </c>
      <c r="H86" s="131">
        <f t="shared" si="27"/>
        <v>1.1666666666666667</v>
      </c>
      <c r="I86" s="131">
        <v>24.3</v>
      </c>
      <c r="J86" s="131">
        <f t="shared" si="41"/>
        <v>0.86786000000000008</v>
      </c>
      <c r="K86" s="131">
        <f t="shared" si="40"/>
        <v>0.93393000000000004</v>
      </c>
      <c r="L86" s="131">
        <v>1</v>
      </c>
      <c r="M86" s="131">
        <f t="shared" si="28"/>
        <v>0.252</v>
      </c>
      <c r="N86" s="131">
        <f t="shared" si="29"/>
        <v>0.33600000000000002</v>
      </c>
      <c r="O86" s="131">
        <v>0.45</v>
      </c>
      <c r="P86" s="131">
        <v>0.6</v>
      </c>
      <c r="Q86" s="131">
        <f t="shared" si="30"/>
        <v>0.31343283582089554</v>
      </c>
      <c r="R86" s="188">
        <f t="shared" si="34"/>
        <v>6.3423961696835232</v>
      </c>
      <c r="S86" s="188">
        <f t="shared" si="31"/>
        <v>0.41466977615988837</v>
      </c>
      <c r="T86" s="188">
        <f t="shared" si="32"/>
        <v>0.94444444444444442</v>
      </c>
      <c r="U86" s="188">
        <v>39.200000000000003</v>
      </c>
      <c r="V86" s="188">
        <f>1-0.872</f>
        <v>0.128</v>
      </c>
      <c r="W86" s="188">
        <f t="shared" si="42"/>
        <v>0.26</v>
      </c>
      <c r="X86" s="188">
        <v>0.74</v>
      </c>
      <c r="Y86" s="188">
        <v>0.52</v>
      </c>
      <c r="Z86" s="188">
        <f t="shared" si="43"/>
        <v>0.504</v>
      </c>
      <c r="AA86" s="188">
        <f>-8/122</f>
        <v>-6.5573770491803282E-2</v>
      </c>
      <c r="AB86" s="188">
        <f>(AA86+0.3)/2</f>
        <v>0.11721311475409835</v>
      </c>
      <c r="AC86" s="188">
        <f t="shared" si="35"/>
        <v>2.2985002168334834</v>
      </c>
      <c r="AD86" s="188">
        <v>23.6</v>
      </c>
      <c r="AE86" s="188">
        <v>5.6</v>
      </c>
      <c r="AF86" s="188">
        <v>7.8</v>
      </c>
      <c r="AG86" s="188"/>
      <c r="AH86" s="188">
        <v>7.48</v>
      </c>
      <c r="AI86" s="188">
        <f t="shared" si="33"/>
        <v>0.36240249825771692</v>
      </c>
    </row>
    <row r="87" spans="4:35" ht="14">
      <c r="D87" s="164" t="s">
        <v>85</v>
      </c>
      <c r="E87" s="181">
        <v>1</v>
      </c>
      <c r="F87" s="181">
        <v>2</v>
      </c>
      <c r="G87" s="182" t="s">
        <v>8</v>
      </c>
      <c r="H87" s="131">
        <f t="shared" si="27"/>
        <v>1.1666666666666667</v>
      </c>
      <c r="I87" s="131">
        <v>26.8</v>
      </c>
      <c r="J87" s="131">
        <f t="shared" si="41"/>
        <v>1.0600266666666669</v>
      </c>
      <c r="K87" s="131">
        <f t="shared" si="40"/>
        <v>0.90501333333333345</v>
      </c>
      <c r="L87" s="131">
        <v>0.75</v>
      </c>
      <c r="M87" s="131">
        <f t="shared" si="28"/>
        <v>0.21699999999999997</v>
      </c>
      <c r="N87" s="131">
        <f t="shared" si="29"/>
        <v>0.28933333333333328</v>
      </c>
      <c r="O87" s="131">
        <v>3.16</v>
      </c>
      <c r="P87" s="131">
        <v>0.6</v>
      </c>
      <c r="Q87" s="131">
        <f t="shared" si="30"/>
        <v>0.39432835820895523</v>
      </c>
      <c r="R87" s="188">
        <f t="shared" si="34"/>
        <v>6.3818255684887397</v>
      </c>
      <c r="S87" s="188">
        <f t="shared" si="31"/>
        <v>0.41210778511183943</v>
      </c>
      <c r="T87" s="188">
        <f t="shared" si="32"/>
        <v>0.94444444444444442</v>
      </c>
      <c r="U87" s="188">
        <v>32</v>
      </c>
      <c r="V87" s="188">
        <f>1-0.854</f>
        <v>0.14600000000000002</v>
      </c>
      <c r="W87" s="188">
        <f t="shared" si="42"/>
        <v>0.23300000000000001</v>
      </c>
      <c r="X87" s="188">
        <v>1.2010000000000001</v>
      </c>
      <c r="Y87" s="188">
        <v>0.96</v>
      </c>
      <c r="Z87" s="188">
        <f t="shared" si="43"/>
        <v>0.79266666666666674</v>
      </c>
      <c r="AA87" s="188">
        <f>4/98</f>
        <v>4.0816326530612242E-2</v>
      </c>
      <c r="AB87" s="188">
        <f>AA87</f>
        <v>4.0816326530612242E-2</v>
      </c>
      <c r="AC87" s="188">
        <f t="shared" si="35"/>
        <v>2.7380170061908102</v>
      </c>
      <c r="AD87" s="188" t="s">
        <v>223</v>
      </c>
      <c r="AE87" s="188">
        <v>8.4</v>
      </c>
      <c r="AF87" s="188">
        <v>61</v>
      </c>
      <c r="AG87" s="188"/>
      <c r="AH87" s="188">
        <v>7.83</v>
      </c>
      <c r="AI87" s="188">
        <f t="shared" si="33"/>
        <v>0.42903350723188</v>
      </c>
    </row>
    <row r="88" spans="4:35" ht="14">
      <c r="D88" s="164" t="s">
        <v>86</v>
      </c>
      <c r="E88" s="181">
        <v>2</v>
      </c>
      <c r="F88" s="181">
        <v>3</v>
      </c>
      <c r="G88" s="182" t="s">
        <v>8</v>
      </c>
      <c r="H88" s="131">
        <f t="shared" si="27"/>
        <v>1.5</v>
      </c>
      <c r="I88" s="131">
        <v>35.799999999999997</v>
      </c>
      <c r="J88" s="131">
        <f t="shared" si="41"/>
        <v>1.7518266666666666</v>
      </c>
      <c r="K88" s="131">
        <f t="shared" si="40"/>
        <v>1.2509133333333333</v>
      </c>
      <c r="L88" s="131">
        <v>0.75</v>
      </c>
      <c r="M88" s="131">
        <f t="shared" si="28"/>
        <v>0.27900000000000003</v>
      </c>
      <c r="N88" s="131">
        <f t="shared" si="29"/>
        <v>0.37200000000000005</v>
      </c>
      <c r="O88" s="131">
        <v>0.14000000000000001</v>
      </c>
      <c r="P88" s="131">
        <v>0.2</v>
      </c>
      <c r="Q88" s="131">
        <f t="shared" si="30"/>
        <v>0.10417910447761194</v>
      </c>
      <c r="R88" s="188">
        <f t="shared" si="34"/>
        <v>13.338287470426918</v>
      </c>
      <c r="S88" s="188">
        <f t="shared" si="31"/>
        <v>0.19717673695600907</v>
      </c>
      <c r="T88" s="188">
        <f t="shared" si="32"/>
        <v>0.83333333333333337</v>
      </c>
      <c r="U88" s="188">
        <v>45.5</v>
      </c>
      <c r="V88" s="188">
        <v>0.312</v>
      </c>
      <c r="W88" s="188">
        <f t="shared" si="42"/>
        <v>0.38350000000000001</v>
      </c>
      <c r="X88" s="188">
        <v>1.2649999999999999</v>
      </c>
      <c r="Y88" s="188">
        <v>0.85</v>
      </c>
      <c r="Z88" s="188">
        <f t="shared" si="43"/>
        <v>0.79799999999999993</v>
      </c>
      <c r="AA88" s="188" t="s">
        <v>223</v>
      </c>
      <c r="AB88" s="188">
        <v>0.1</v>
      </c>
      <c r="AC88" s="188">
        <f t="shared" si="35"/>
        <v>2.9093121150724977</v>
      </c>
      <c r="AD88" s="188">
        <v>16.5</v>
      </c>
      <c r="AE88" s="188">
        <v>12.7</v>
      </c>
      <c r="AF88" s="188">
        <v>2.7</v>
      </c>
      <c r="AG88" s="188"/>
      <c r="AH88" s="188">
        <v>7.21</v>
      </c>
      <c r="AI88" s="188">
        <f t="shared" si="33"/>
        <v>0.218117364880829</v>
      </c>
    </row>
    <row r="89" spans="4:35" ht="14">
      <c r="D89" s="164" t="s">
        <v>87</v>
      </c>
      <c r="E89" s="181">
        <v>1</v>
      </c>
      <c r="F89" s="181">
        <v>2</v>
      </c>
      <c r="G89" s="182" t="s">
        <v>8</v>
      </c>
      <c r="H89" s="131">
        <f t="shared" si="27"/>
        <v>1.1666666666666667</v>
      </c>
      <c r="I89" s="131">
        <v>27.5</v>
      </c>
      <c r="J89" s="131">
        <f t="shared" si="41"/>
        <v>1.1138333333333335</v>
      </c>
      <c r="K89" s="131">
        <f t="shared" si="40"/>
        <v>1.0569166666666667</v>
      </c>
      <c r="L89" s="183">
        <v>1</v>
      </c>
      <c r="M89" s="131">
        <f t="shared" si="28"/>
        <v>0.19199999999999995</v>
      </c>
      <c r="N89" s="131">
        <f t="shared" si="29"/>
        <v>0.25599999999999995</v>
      </c>
      <c r="O89" s="131">
        <v>6.23</v>
      </c>
      <c r="P89" s="131">
        <v>0.8</v>
      </c>
      <c r="Q89" s="131">
        <f t="shared" si="30"/>
        <v>0.58597014925373136</v>
      </c>
      <c r="R89" s="188">
        <f t="shared" si="34"/>
        <v>9.1647806898147053</v>
      </c>
      <c r="S89" s="188">
        <f t="shared" si="31"/>
        <v>0.28696813257330367</v>
      </c>
      <c r="T89" s="188">
        <f t="shared" si="32"/>
        <v>0.94444444444444442</v>
      </c>
      <c r="U89" s="188">
        <v>37.6</v>
      </c>
      <c r="V89" s="188">
        <f>1-0.884</f>
        <v>0.11599999999999999</v>
      </c>
      <c r="W89" s="188">
        <f t="shared" si="42"/>
        <v>0.246</v>
      </c>
      <c r="X89" s="188">
        <v>2.0819999999999999</v>
      </c>
      <c r="Y89" s="188">
        <v>1.05</v>
      </c>
      <c r="Z89" s="188">
        <f t="shared" si="43"/>
        <v>1.1079999999999999</v>
      </c>
      <c r="AA89" s="188">
        <f>-3/102</f>
        <v>-2.9411764705882353E-2</v>
      </c>
      <c r="AB89" s="188">
        <f>AA89</f>
        <v>-2.9411764705882353E-2</v>
      </c>
      <c r="AC89" s="188">
        <f t="shared" si="35"/>
        <v>3.4938350461726508</v>
      </c>
      <c r="AD89" s="188">
        <v>16</v>
      </c>
      <c r="AE89" s="188">
        <v>4.8</v>
      </c>
      <c r="AF89" s="188">
        <v>127.75</v>
      </c>
      <c r="AG89" s="188"/>
      <c r="AH89" s="188">
        <v>8.08</v>
      </c>
      <c r="AI89" s="188">
        <f t="shared" si="33"/>
        <v>0.38122407555867982</v>
      </c>
    </row>
    <row r="90" spans="4:35" ht="14">
      <c r="D90" s="164" t="s">
        <v>88</v>
      </c>
      <c r="E90" s="181">
        <v>6</v>
      </c>
      <c r="F90" s="181">
        <v>5</v>
      </c>
      <c r="G90" s="182" t="s">
        <v>4</v>
      </c>
      <c r="H90" s="131">
        <f t="shared" si="27"/>
        <v>2.5</v>
      </c>
      <c r="I90" s="131">
        <v>30.7</v>
      </c>
      <c r="J90" s="131">
        <f t="shared" si="41"/>
        <v>1.3598066666666666</v>
      </c>
      <c r="K90" s="131">
        <f t="shared" si="40"/>
        <v>1.0549033333333333</v>
      </c>
      <c r="L90" s="131">
        <v>0.75</v>
      </c>
      <c r="M90" s="131">
        <f t="shared" si="28"/>
        <v>0.626</v>
      </c>
      <c r="N90" s="131">
        <f t="shared" si="29"/>
        <v>0.83466666666666667</v>
      </c>
      <c r="O90" s="131">
        <v>0.1</v>
      </c>
      <c r="P90" s="131">
        <v>0.2</v>
      </c>
      <c r="Q90" s="131">
        <f t="shared" si="30"/>
        <v>0.10298507462686568</v>
      </c>
      <c r="R90" s="188">
        <f t="shared" si="34"/>
        <v>145.67639463182769</v>
      </c>
      <c r="S90" s="188">
        <f t="shared" si="31"/>
        <v>1.8053714238651208E-2</v>
      </c>
      <c r="T90" s="188">
        <f t="shared" si="32"/>
        <v>0.5</v>
      </c>
      <c r="U90" s="188">
        <v>39.700000000000003</v>
      </c>
      <c r="V90" s="188">
        <v>0.31900000000000001</v>
      </c>
      <c r="W90" s="188">
        <f t="shared" si="42"/>
        <v>0.35799999999999998</v>
      </c>
      <c r="X90" s="188">
        <v>0.60699999999999998</v>
      </c>
      <c r="Y90" s="188">
        <v>0.75</v>
      </c>
      <c r="Z90" s="188">
        <f t="shared" si="43"/>
        <v>0.66100000000000003</v>
      </c>
      <c r="AA90" s="188">
        <f>6/133</f>
        <v>4.5112781954887216E-2</v>
      </c>
      <c r="AB90" s="188">
        <f>AA90</f>
        <v>4.5112781954887216E-2</v>
      </c>
      <c r="AC90" s="188">
        <f t="shared" si="35"/>
        <v>1.7024295723276306</v>
      </c>
      <c r="AD90" s="188">
        <v>14.2</v>
      </c>
      <c r="AE90" s="188">
        <v>12.3</v>
      </c>
      <c r="AF90" s="188">
        <v>6.29</v>
      </c>
      <c r="AG90" s="188"/>
      <c r="AH90" s="188">
        <v>3.74</v>
      </c>
      <c r="AI90" s="188">
        <f t="shared" si="33"/>
        <v>1.1686379091343053E-2</v>
      </c>
    </row>
    <row r="91" spans="4:35" ht="14">
      <c r="D91" s="164" t="s">
        <v>89</v>
      </c>
      <c r="E91" s="181">
        <v>6</v>
      </c>
      <c r="F91" s="181">
        <v>5</v>
      </c>
      <c r="G91" s="182" t="s">
        <v>4</v>
      </c>
      <c r="H91" s="131">
        <f t="shared" si="27"/>
        <v>2.5</v>
      </c>
      <c r="I91" s="131">
        <v>25.2</v>
      </c>
      <c r="J91" s="131">
        <f t="shared" si="41"/>
        <v>0.93703999999999987</v>
      </c>
      <c r="K91" s="131">
        <f t="shared" si="40"/>
        <v>0.84351999999999994</v>
      </c>
      <c r="L91" s="131">
        <v>0.75</v>
      </c>
      <c r="M91" s="131">
        <f t="shared" si="28"/>
        <v>0.67</v>
      </c>
      <c r="N91" s="131">
        <f t="shared" si="29"/>
        <v>0.89333333333333342</v>
      </c>
      <c r="O91" s="131">
        <v>0.17</v>
      </c>
      <c r="P91" s="131">
        <v>0.2</v>
      </c>
      <c r="Q91" s="131">
        <f t="shared" si="30"/>
        <v>0.10507462686567165</v>
      </c>
      <c r="R91" s="188">
        <f t="shared" si="34"/>
        <v>99.964977585222144</v>
      </c>
      <c r="S91" s="188">
        <f t="shared" si="31"/>
        <v>2.6309214122094634E-2</v>
      </c>
      <c r="T91" s="188">
        <f t="shared" si="32"/>
        <v>0.5</v>
      </c>
      <c r="U91" s="188">
        <v>26.7</v>
      </c>
      <c r="V91" s="188">
        <f>1-0.714</f>
        <v>0.28600000000000003</v>
      </c>
      <c r="W91" s="188">
        <f t="shared" si="42"/>
        <v>0.27650000000000002</v>
      </c>
      <c r="X91" s="188">
        <v>0.16</v>
      </c>
      <c r="Y91" s="188">
        <v>0.25</v>
      </c>
      <c r="Z91" s="188">
        <f t="shared" si="43"/>
        <v>0.36000000000000004</v>
      </c>
      <c r="AA91" s="188">
        <f>-25/135</f>
        <v>-0.18518518518518517</v>
      </c>
      <c r="AB91" s="188">
        <f>AA91</f>
        <v>-0.18518518518518517</v>
      </c>
      <c r="AC91" s="188">
        <f t="shared" si="35"/>
        <v>1.2531462730984981</v>
      </c>
      <c r="AD91" s="188">
        <v>8.1999999999999993</v>
      </c>
      <c r="AE91" s="188">
        <v>5.4</v>
      </c>
      <c r="AF91" s="188">
        <v>17</v>
      </c>
      <c r="AG91" s="188"/>
      <c r="AH91" s="188">
        <v>3.3</v>
      </c>
      <c r="AI91" s="188">
        <f t="shared" si="33"/>
        <v>1.2535853089449911E-2</v>
      </c>
    </row>
    <row r="92" spans="4:35" ht="14">
      <c r="D92" s="164" t="s">
        <v>90</v>
      </c>
      <c r="E92" s="181">
        <v>4</v>
      </c>
      <c r="F92" s="181">
        <v>3</v>
      </c>
      <c r="G92" s="182" t="s">
        <v>3</v>
      </c>
      <c r="H92" s="131">
        <f t="shared" si="27"/>
        <v>1.8333333333333335</v>
      </c>
      <c r="I92" s="131">
        <v>37.799999999999997</v>
      </c>
      <c r="J92" s="131">
        <f t="shared" si="41"/>
        <v>1.9055599999999999</v>
      </c>
      <c r="K92" s="131">
        <f t="shared" si="40"/>
        <v>1.32778</v>
      </c>
      <c r="L92" s="131">
        <v>0.75</v>
      </c>
      <c r="M92" s="131">
        <f t="shared" si="28"/>
        <v>0.52900000000000003</v>
      </c>
      <c r="N92" s="131">
        <f t="shared" si="29"/>
        <v>0.70533333333333337</v>
      </c>
      <c r="O92" s="131">
        <v>0.14000000000000001</v>
      </c>
      <c r="P92" s="131">
        <v>0.2</v>
      </c>
      <c r="Q92" s="131">
        <f t="shared" si="30"/>
        <v>0.10417910447761194</v>
      </c>
      <c r="R92" s="188">
        <f t="shared" si="34"/>
        <v>50.318332268248071</v>
      </c>
      <c r="S92" s="188">
        <f t="shared" si="31"/>
        <v>5.226723306288085E-2</v>
      </c>
      <c r="T92" s="188">
        <f t="shared" si="32"/>
        <v>0.7222222222222221</v>
      </c>
      <c r="U92" s="188">
        <v>42.5</v>
      </c>
      <c r="V92" s="189">
        <v>0.53</v>
      </c>
      <c r="W92" s="188">
        <f t="shared" si="42"/>
        <v>0.47750000000000004</v>
      </c>
      <c r="X92" s="188">
        <v>0.48499999999999999</v>
      </c>
      <c r="Y92" s="188">
        <v>0.56999999999999995</v>
      </c>
      <c r="Z92" s="188">
        <f t="shared" si="43"/>
        <v>0.52800000000000002</v>
      </c>
      <c r="AA92" s="188">
        <f>28/125</f>
        <v>0.224</v>
      </c>
      <c r="AB92" s="188">
        <f>AA92</f>
        <v>0.224</v>
      </c>
      <c r="AC92" s="188">
        <f t="shared" si="35"/>
        <v>2.4301967525984458</v>
      </c>
      <c r="AD92" s="188">
        <v>50</v>
      </c>
      <c r="AE92" s="188">
        <v>40</v>
      </c>
      <c r="AF92" s="188">
        <v>38.61</v>
      </c>
      <c r="AG92" s="188"/>
      <c r="AH92" s="188">
        <v>4.71</v>
      </c>
      <c r="AI92" s="188">
        <f t="shared" si="33"/>
        <v>4.829644869076774E-2</v>
      </c>
    </row>
    <row r="93" spans="4:35" ht="14">
      <c r="D93" s="164" t="s">
        <v>91</v>
      </c>
      <c r="E93" s="181">
        <v>1</v>
      </c>
      <c r="F93" s="181">
        <v>1</v>
      </c>
      <c r="G93" s="182" t="s">
        <v>8</v>
      </c>
      <c r="H93" s="131">
        <f t="shared" si="27"/>
        <v>1</v>
      </c>
      <c r="I93" s="131"/>
      <c r="J93" s="131">
        <f t="shared" si="41"/>
        <v>-1</v>
      </c>
      <c r="K93" s="131">
        <v>0.75</v>
      </c>
      <c r="L93" s="131">
        <v>0.75</v>
      </c>
      <c r="M93" s="131">
        <f t="shared" si="28"/>
        <v>0.19000000000000006</v>
      </c>
      <c r="N93" s="131">
        <f t="shared" si="29"/>
        <v>0.25333333333333341</v>
      </c>
      <c r="O93" s="131">
        <v>0.03</v>
      </c>
      <c r="P93" s="131">
        <v>0.2</v>
      </c>
      <c r="Q93" s="131">
        <f t="shared" si="30"/>
        <v>0.10089552238805971</v>
      </c>
      <c r="R93" s="188">
        <f t="shared" si="34"/>
        <v>3.0168971086122003</v>
      </c>
      <c r="S93" s="188">
        <f t="shared" si="31"/>
        <v>0.87175661128523652</v>
      </c>
      <c r="T93" s="188">
        <f t="shared" si="32"/>
        <v>1</v>
      </c>
      <c r="U93" s="188"/>
      <c r="V93" s="189">
        <v>0.15</v>
      </c>
      <c r="W93" s="188">
        <f>V93</f>
        <v>0.15</v>
      </c>
      <c r="X93" s="188"/>
      <c r="Y93" s="188">
        <v>0.7</v>
      </c>
      <c r="Z93" s="188">
        <f>(Y93+N93)/2</f>
        <v>0.47666666666666668</v>
      </c>
      <c r="AA93" s="188" t="s">
        <v>223</v>
      </c>
      <c r="AB93" s="188">
        <v>0.1</v>
      </c>
      <c r="AC93" s="188">
        <f t="shared" si="35"/>
        <v>2.0681751877423347</v>
      </c>
      <c r="AD93" s="188" t="s">
        <v>223</v>
      </c>
      <c r="AE93" s="188">
        <v>2</v>
      </c>
      <c r="AF93" s="188">
        <v>0.1</v>
      </c>
      <c r="AG93" s="188"/>
      <c r="AH93" s="188">
        <v>8.1</v>
      </c>
      <c r="AI93" s="188">
        <f t="shared" si="33"/>
        <v>0.68553056776063326</v>
      </c>
    </row>
    <row r="94" spans="4:35" ht="14">
      <c r="D94" s="164" t="s">
        <v>198</v>
      </c>
      <c r="E94" s="181">
        <v>5</v>
      </c>
      <c r="F94" s="181">
        <v>4</v>
      </c>
      <c r="G94" s="182" t="s">
        <v>3</v>
      </c>
      <c r="H94" s="131">
        <f t="shared" si="27"/>
        <v>2.166666666666667</v>
      </c>
      <c r="I94" s="131"/>
      <c r="J94" s="131">
        <f t="shared" si="41"/>
        <v>-1</v>
      </c>
      <c r="K94" s="131">
        <v>0.75</v>
      </c>
      <c r="L94" s="131">
        <v>0.75</v>
      </c>
      <c r="M94" s="131">
        <f t="shared" si="28"/>
        <v>0.64</v>
      </c>
      <c r="N94" s="131">
        <f t="shared" si="29"/>
        <v>0.85333333333333339</v>
      </c>
      <c r="O94" s="131">
        <v>0.05</v>
      </c>
      <c r="P94" s="131">
        <v>0.2</v>
      </c>
      <c r="Q94" s="131">
        <f t="shared" si="30"/>
        <v>0.10149253731343284</v>
      </c>
      <c r="R94" s="188">
        <f t="shared" si="34"/>
        <v>40.196880230272377</v>
      </c>
      <c r="S94" s="188">
        <f t="shared" si="31"/>
        <v>6.5427963188529739E-2</v>
      </c>
      <c r="T94" s="188">
        <f t="shared" si="32"/>
        <v>0.61111111111111094</v>
      </c>
      <c r="U94" s="188">
        <v>30</v>
      </c>
      <c r="V94" s="189">
        <v>0.79</v>
      </c>
      <c r="W94" s="188">
        <f>(U94/100+V94)/2</f>
        <v>0.54500000000000004</v>
      </c>
      <c r="X94" s="188">
        <v>5.6000000000000001E-2</v>
      </c>
      <c r="Y94" s="188">
        <v>0.5</v>
      </c>
      <c r="Z94" s="188">
        <f>(Y94+X94+M94)/3</f>
        <v>0.39866666666666672</v>
      </c>
      <c r="AA94" s="188" t="s">
        <v>223</v>
      </c>
      <c r="AB94" s="188">
        <v>0.3</v>
      </c>
      <c r="AC94" s="188">
        <f t="shared" si="35"/>
        <v>2.138315818571253</v>
      </c>
      <c r="AD94" s="188"/>
      <c r="AE94" s="188">
        <v>45.3</v>
      </c>
      <c r="AF94" s="188"/>
      <c r="AG94" s="188"/>
      <c r="AH94" s="188">
        <v>3.6</v>
      </c>
      <c r="AI94" s="188">
        <f t="shared" si="33"/>
        <v>5.3196064130391935E-2</v>
      </c>
    </row>
    <row r="95" spans="4:35" ht="14">
      <c r="D95" s="164" t="s">
        <v>92</v>
      </c>
      <c r="E95" s="181">
        <v>4</v>
      </c>
      <c r="F95" s="181">
        <v>5</v>
      </c>
      <c r="G95" s="182" t="s">
        <v>3</v>
      </c>
      <c r="H95" s="131">
        <f t="shared" si="27"/>
        <v>2.166666666666667</v>
      </c>
      <c r="I95" s="131"/>
      <c r="J95" s="131">
        <f t="shared" si="41"/>
        <v>-1</v>
      </c>
      <c r="K95" s="131">
        <v>0.75</v>
      </c>
      <c r="L95" s="131">
        <v>0.75</v>
      </c>
      <c r="M95" s="131">
        <f t="shared" si="28"/>
        <v>0.61199999999999999</v>
      </c>
      <c r="N95" s="131">
        <f t="shared" si="29"/>
        <v>0.81599999999999995</v>
      </c>
      <c r="O95" s="131">
        <v>0.57999999999999996</v>
      </c>
      <c r="P95" s="131">
        <v>0.2</v>
      </c>
      <c r="Q95" s="131">
        <f t="shared" si="30"/>
        <v>0.11731343283582091</v>
      </c>
      <c r="R95" s="188">
        <f t="shared" si="34"/>
        <v>38.366285972154927</v>
      </c>
      <c r="S95" s="188">
        <f t="shared" si="31"/>
        <v>6.8549767937109499E-2</v>
      </c>
      <c r="T95" s="188">
        <f t="shared" si="32"/>
        <v>0.61111111111111094</v>
      </c>
      <c r="U95" s="188"/>
      <c r="V95" s="188">
        <f>1-0.771</f>
        <v>0.22899999999999998</v>
      </c>
      <c r="W95" s="188">
        <f>V95</f>
        <v>0.22899999999999998</v>
      </c>
      <c r="X95" s="188">
        <v>6.8000000000000005E-2</v>
      </c>
      <c r="Y95" s="188">
        <v>0.43</v>
      </c>
      <c r="Z95" s="188">
        <f>(Y95+X95+M95)/3</f>
        <v>0.36999999999999994</v>
      </c>
      <c r="AA95" s="188" t="s">
        <v>225</v>
      </c>
      <c r="AB95" s="188">
        <v>0.1</v>
      </c>
      <c r="AC95" s="188">
        <f t="shared" si="35"/>
        <v>1.5329081251223311</v>
      </c>
      <c r="AD95" s="188" t="s">
        <v>223</v>
      </c>
      <c r="AE95" s="188">
        <v>2.2000000000000002</v>
      </c>
      <c r="AF95" s="188">
        <v>3.58</v>
      </c>
      <c r="AG95" s="188"/>
      <c r="AH95" s="188">
        <v>3.88</v>
      </c>
      <c r="AI95" s="188">
        <f t="shared" si="33"/>
        <v>3.995456131028343E-2</v>
      </c>
    </row>
    <row r="96" spans="4:35" ht="14">
      <c r="D96" s="164" t="s">
        <v>93</v>
      </c>
      <c r="E96" s="181">
        <v>5</v>
      </c>
      <c r="F96" s="181">
        <v>5</v>
      </c>
      <c r="G96" s="182" t="s">
        <v>3</v>
      </c>
      <c r="H96" s="131">
        <f t="shared" si="27"/>
        <v>2.333333333333333</v>
      </c>
      <c r="I96" s="131">
        <v>27.9</v>
      </c>
      <c r="J96" s="131">
        <f t="shared" si="41"/>
        <v>1.1445799999999999</v>
      </c>
      <c r="K96" s="131">
        <f>(J96+L96)/2</f>
        <v>0.94728999999999997</v>
      </c>
      <c r="L96" s="131">
        <v>0.75</v>
      </c>
      <c r="M96" s="131">
        <f t="shared" si="28"/>
        <v>0.56900000000000006</v>
      </c>
      <c r="N96" s="131">
        <f t="shared" si="29"/>
        <v>0.75866666666666671</v>
      </c>
      <c r="O96" s="131">
        <v>0.06</v>
      </c>
      <c r="P96" s="131">
        <v>0.2</v>
      </c>
      <c r="Q96" s="131">
        <f t="shared" si="30"/>
        <v>0.1017910447761194</v>
      </c>
      <c r="R96" s="188">
        <f t="shared" si="34"/>
        <v>67.902849062416806</v>
      </c>
      <c r="S96" s="188">
        <f t="shared" si="31"/>
        <v>3.8731806342654107E-2</v>
      </c>
      <c r="T96" s="188">
        <f t="shared" si="32"/>
        <v>0.55555555555555558</v>
      </c>
      <c r="U96" s="188">
        <v>33.4</v>
      </c>
      <c r="V96" s="188">
        <v>0.40200000000000002</v>
      </c>
      <c r="W96" s="188">
        <f>(U96/100+V96)/2</f>
        <v>0.36799999999999999</v>
      </c>
      <c r="X96" s="188"/>
      <c r="Y96" s="188">
        <v>0.43</v>
      </c>
      <c r="Z96" s="188">
        <f>(Y96+N96)/2</f>
        <v>0.59433333333333338</v>
      </c>
      <c r="AA96" s="188">
        <f>66/123</f>
        <v>0.53658536585365857</v>
      </c>
      <c r="AB96" s="188">
        <f>AA96</f>
        <v>0.53658536585365857</v>
      </c>
      <c r="AC96" s="188">
        <f t="shared" si="35"/>
        <v>2.2995940575939358</v>
      </c>
      <c r="AD96" s="188">
        <v>33.700000000000003</v>
      </c>
      <c r="AE96" s="188">
        <v>8.6</v>
      </c>
      <c r="AF96" s="188">
        <v>5.4</v>
      </c>
      <c r="AG96" s="188"/>
      <c r="AH96" s="188">
        <v>4.3099999999999996</v>
      </c>
      <c r="AI96" s="188">
        <f t="shared" si="33"/>
        <v>3.3865943614238211E-2</v>
      </c>
    </row>
    <row r="97" spans="4:35" ht="14">
      <c r="D97" s="164" t="s">
        <v>94</v>
      </c>
      <c r="E97" s="181">
        <v>7</v>
      </c>
      <c r="F97" s="181">
        <v>6</v>
      </c>
      <c r="G97" s="182" t="s">
        <v>4</v>
      </c>
      <c r="H97" s="131">
        <f t="shared" si="27"/>
        <v>2.833333333333333</v>
      </c>
      <c r="I97" s="131">
        <v>30.3</v>
      </c>
      <c r="J97" s="131">
        <f t="shared" si="41"/>
        <v>1.3290600000000001</v>
      </c>
      <c r="K97" s="131">
        <f>(J97+L97)/2</f>
        <v>0.99953000000000003</v>
      </c>
      <c r="L97" s="131">
        <v>0.67</v>
      </c>
      <c r="M97" s="131">
        <f t="shared" si="28"/>
        <v>0.79</v>
      </c>
      <c r="N97" s="131">
        <f t="shared" si="29"/>
        <v>1.0533333333333335</v>
      </c>
      <c r="O97" s="131">
        <v>0.05</v>
      </c>
      <c r="P97" s="131">
        <v>0.2</v>
      </c>
      <c r="Q97" s="131">
        <f t="shared" si="30"/>
        <v>0.10149253731343284</v>
      </c>
      <c r="R97" s="188">
        <f t="shared" si="34"/>
        <v>447.64848832685362</v>
      </c>
      <c r="S97" s="188">
        <f t="shared" si="31"/>
        <v>5.8751454960341279E-3</v>
      </c>
      <c r="T97" s="188">
        <f t="shared" si="32"/>
        <v>0.38888888888888895</v>
      </c>
      <c r="U97" s="188">
        <v>36.700000000000003</v>
      </c>
      <c r="V97" s="188">
        <v>0.503</v>
      </c>
      <c r="W97" s="188">
        <f>(U97/100+V97)/2</f>
        <v>0.43500000000000005</v>
      </c>
      <c r="X97" s="188"/>
      <c r="Y97" s="188">
        <v>0.17</v>
      </c>
      <c r="Z97" s="188">
        <f>(Y97+N97)/2</f>
        <v>0.61166666666666669</v>
      </c>
      <c r="AA97" s="188">
        <f>-28/146</f>
        <v>-0.19178082191780821</v>
      </c>
      <c r="AB97" s="188">
        <f>AA97</f>
        <v>-0.19178082191780821</v>
      </c>
      <c r="AC97" s="188">
        <f t="shared" si="35"/>
        <v>1.3943879957562619</v>
      </c>
      <c r="AD97" s="188">
        <v>26</v>
      </c>
      <c r="AE97" s="188">
        <v>2.5</v>
      </c>
      <c r="AF97" s="188">
        <v>6.5</v>
      </c>
      <c r="AG97" s="188"/>
      <c r="AH97" s="188">
        <v>2.1</v>
      </c>
      <c r="AI97" s="188">
        <f t="shared" si="33"/>
        <v>3.1149172444834439E-3</v>
      </c>
    </row>
    <row r="98" spans="4:35" ht="14">
      <c r="D98" s="164" t="s">
        <v>95</v>
      </c>
      <c r="E98" s="181">
        <v>2</v>
      </c>
      <c r="F98" s="181">
        <v>2</v>
      </c>
      <c r="G98" s="182" t="s">
        <v>8</v>
      </c>
      <c r="H98" s="131">
        <f t="shared" si="27"/>
        <v>1.3333333333333333</v>
      </c>
      <c r="I98" s="131">
        <v>27.6</v>
      </c>
      <c r="J98" s="131">
        <f t="shared" si="41"/>
        <v>1.1215199999999999</v>
      </c>
      <c r="K98" s="131">
        <f>(J98+L98)/2</f>
        <v>0.93575999999999993</v>
      </c>
      <c r="L98" s="131">
        <v>0.75</v>
      </c>
      <c r="M98" s="131">
        <f t="shared" si="28"/>
        <v>0.29500000000000004</v>
      </c>
      <c r="N98" s="131">
        <f t="shared" si="29"/>
        <v>0.39333333333333337</v>
      </c>
      <c r="O98" s="131">
        <v>0.09</v>
      </c>
      <c r="P98" s="131">
        <v>0.2</v>
      </c>
      <c r="Q98" s="131">
        <f t="shared" si="30"/>
        <v>0.10268656716417911</v>
      </c>
      <c r="R98" s="188">
        <f t="shared" si="34"/>
        <v>6.7466080490400309</v>
      </c>
      <c r="S98" s="188">
        <f t="shared" si="31"/>
        <v>0.38982552134093817</v>
      </c>
      <c r="T98" s="188">
        <f t="shared" si="32"/>
        <v>0.88888888888888895</v>
      </c>
      <c r="U98" s="188">
        <v>35.200000000000003</v>
      </c>
      <c r="V98" s="188">
        <f>1-0.769</f>
        <v>0.23099999999999998</v>
      </c>
      <c r="W98" s="188">
        <f>(U98/100+V98)/2</f>
        <v>0.29149999999999998</v>
      </c>
      <c r="X98" s="188">
        <v>0.44800000000000001</v>
      </c>
      <c r="Y98" s="188">
        <v>0.6</v>
      </c>
      <c r="Z98" s="188">
        <f>(Y98+X98+M98)/3</f>
        <v>0.44766666666666666</v>
      </c>
      <c r="AA98" s="188">
        <f>-25/97</f>
        <v>-0.25773195876288657</v>
      </c>
      <c r="AB98" s="188">
        <f>AA98</f>
        <v>-0.25773195876288657</v>
      </c>
      <c r="AC98" s="188">
        <f t="shared" si="35"/>
        <v>1.5340970433511678</v>
      </c>
      <c r="AD98" s="188" t="s">
        <v>223</v>
      </c>
      <c r="AE98" s="188">
        <v>13</v>
      </c>
      <c r="AF98" s="188">
        <v>2</v>
      </c>
      <c r="AG98" s="188"/>
      <c r="AH98" s="188">
        <v>7.05</v>
      </c>
      <c r="AI98" s="188">
        <f t="shared" si="33"/>
        <v>0.22738790103116382</v>
      </c>
    </row>
    <row r="99" spans="4:35" ht="14">
      <c r="D99" s="164" t="s">
        <v>96</v>
      </c>
      <c r="E99" s="181">
        <v>5</v>
      </c>
      <c r="F99" s="181">
        <v>3</v>
      </c>
      <c r="G99" s="182" t="s">
        <v>3</v>
      </c>
      <c r="H99" s="131">
        <f t="shared" si="27"/>
        <v>2</v>
      </c>
      <c r="I99" s="131"/>
      <c r="J99" s="131">
        <f t="shared" si="41"/>
        <v>-1</v>
      </c>
      <c r="K99" s="131">
        <v>0.67</v>
      </c>
      <c r="L99" s="131">
        <v>0.75</v>
      </c>
      <c r="M99" s="131">
        <f t="shared" si="28"/>
        <v>0.41799999999999993</v>
      </c>
      <c r="N99" s="131">
        <f t="shared" si="29"/>
        <v>0.55733333333333324</v>
      </c>
      <c r="O99" s="131">
        <v>0.14000000000000001</v>
      </c>
      <c r="P99" s="131">
        <v>0.2</v>
      </c>
      <c r="Q99" s="131">
        <f t="shared" si="30"/>
        <v>0.10417910447761194</v>
      </c>
      <c r="R99" s="188">
        <f t="shared" si="34"/>
        <v>14.339599065663961</v>
      </c>
      <c r="S99" s="188">
        <f t="shared" si="31"/>
        <v>0.18340819627917707</v>
      </c>
      <c r="T99" s="188">
        <f t="shared" si="32"/>
        <v>0.66666666666666674</v>
      </c>
      <c r="U99" s="188"/>
      <c r="V99" s="189">
        <v>0.53</v>
      </c>
      <c r="W99" s="188">
        <f>V99</f>
        <v>0.53</v>
      </c>
      <c r="X99" s="188">
        <v>1.371</v>
      </c>
      <c r="Y99" s="188">
        <v>0.85</v>
      </c>
      <c r="Z99" s="188">
        <f>(Y99+X99+M99)/3</f>
        <v>0.87966666666666671</v>
      </c>
      <c r="AA99" s="188">
        <f>13/137</f>
        <v>9.4890510948905105E-2</v>
      </c>
      <c r="AB99" s="188">
        <f>AA99</f>
        <v>9.4890510948905105E-2</v>
      </c>
      <c r="AC99" s="188">
        <f t="shared" si="35"/>
        <v>2.7265528483336641</v>
      </c>
      <c r="AD99" s="188">
        <v>28</v>
      </c>
      <c r="AE99" s="188"/>
      <c r="AF99" s="188">
        <v>4.3</v>
      </c>
      <c r="AG99" s="188"/>
      <c r="AH99" s="188">
        <v>5.82</v>
      </c>
      <c r="AI99" s="188">
        <f t="shared" si="33"/>
        <v>0.19014149808849048</v>
      </c>
    </row>
    <row r="100" spans="4:35" ht="14">
      <c r="D100" s="164" t="s">
        <v>97</v>
      </c>
      <c r="E100" s="181">
        <v>3</v>
      </c>
      <c r="F100" s="181">
        <v>3</v>
      </c>
      <c r="G100" s="182" t="s">
        <v>3</v>
      </c>
      <c r="H100" s="131">
        <f t="shared" ref="H100:H131" si="44">1+(-2+E100+F100)/6</f>
        <v>1.6666666666666665</v>
      </c>
      <c r="I100" s="131">
        <v>39.4</v>
      </c>
      <c r="J100" s="131">
        <f t="shared" si="41"/>
        <v>2.0285466666666663</v>
      </c>
      <c r="K100" s="131">
        <f>(J100+L100)/2</f>
        <v>1.3892733333333331</v>
      </c>
      <c r="L100" s="131">
        <v>0.75</v>
      </c>
      <c r="M100" s="131">
        <f t="shared" ref="M100:M131" si="45">1-AH100/10</f>
        <v>0.39800000000000002</v>
      </c>
      <c r="N100" s="131">
        <f t="shared" ref="N100:N131" si="46">4*M100/3</f>
        <v>0.53066666666666673</v>
      </c>
      <c r="O100" s="131">
        <v>0.04</v>
      </c>
      <c r="P100" s="131">
        <v>0.2</v>
      </c>
      <c r="Q100" s="131">
        <f t="shared" ref="Q100:Q131" si="47">(O100/16.75+P100)/2</f>
        <v>0.10119402985074627</v>
      </c>
      <c r="R100" s="188">
        <f t="shared" si="34"/>
        <v>29.036588768805206</v>
      </c>
      <c r="S100" s="188">
        <f t="shared" ref="S100:S131" si="48">2.63/R100</f>
        <v>9.0575377877220906E-2</v>
      </c>
      <c r="T100" s="188">
        <f t="shared" ref="T100:T131" si="49">1-(H100-1)/3</f>
        <v>0.77777777777777779</v>
      </c>
      <c r="U100" s="188">
        <v>63.2</v>
      </c>
      <c r="V100" s="188">
        <v>0.57299999999999995</v>
      </c>
      <c r="W100" s="188">
        <f>(U100/100+V100)/2</f>
        <v>0.60250000000000004</v>
      </c>
      <c r="X100" s="188"/>
      <c r="Y100" s="188">
        <v>0.48</v>
      </c>
      <c r="Z100" s="188">
        <f>(Y100+N100)/2</f>
        <v>0.50533333333333341</v>
      </c>
      <c r="AA100" s="188">
        <f>46/89</f>
        <v>0.5168539325842697</v>
      </c>
      <c r="AB100" s="188">
        <f>AA100</f>
        <v>0.5168539325842697</v>
      </c>
      <c r="AC100" s="188">
        <f t="shared" si="35"/>
        <v>3.5382974009699137</v>
      </c>
      <c r="AD100" s="188">
        <v>49</v>
      </c>
      <c r="AE100" s="188">
        <v>45</v>
      </c>
      <c r="AF100" s="188">
        <v>2.194</v>
      </c>
      <c r="AG100" s="188"/>
      <c r="AH100" s="188">
        <v>6.02</v>
      </c>
      <c r="AI100" s="188">
        <f t="shared" ref="AI100:AI131" si="50">AC100/R100</f>
        <v>0.12185651107788538</v>
      </c>
    </row>
    <row r="101" spans="4:35" ht="14">
      <c r="D101" s="164" t="s">
        <v>98</v>
      </c>
      <c r="E101" s="181">
        <v>3</v>
      </c>
      <c r="F101" s="181">
        <v>4</v>
      </c>
      <c r="G101" s="182" t="s">
        <v>3</v>
      </c>
      <c r="H101" s="131">
        <f t="shared" si="44"/>
        <v>1.8333333333333335</v>
      </c>
      <c r="I101" s="131">
        <v>30.1</v>
      </c>
      <c r="J101" s="131">
        <f t="shared" si="41"/>
        <v>1.3136866666666669</v>
      </c>
      <c r="K101" s="131">
        <f>(J101+L101)/2</f>
        <v>1.0318433333333334</v>
      </c>
      <c r="L101" s="131">
        <v>0.75</v>
      </c>
      <c r="M101" s="131">
        <f t="shared" si="45"/>
        <v>0.49299999999999999</v>
      </c>
      <c r="N101" s="131">
        <f t="shared" si="46"/>
        <v>0.65733333333333333</v>
      </c>
      <c r="O101" s="131">
        <v>0.08</v>
      </c>
      <c r="P101" s="131">
        <v>0.2</v>
      </c>
      <c r="Q101" s="131">
        <f t="shared" si="47"/>
        <v>0.10238805970149255</v>
      </c>
      <c r="R101" s="188">
        <f t="shared" ref="R101:R132" si="51">EXP(H101*(K101+N101+Q101))</f>
        <v>26.69657637889231</v>
      </c>
      <c r="S101" s="188">
        <f t="shared" si="48"/>
        <v>9.85145047317533E-2</v>
      </c>
      <c r="T101" s="188">
        <f t="shared" si="49"/>
        <v>0.7222222222222221</v>
      </c>
      <c r="U101" s="188">
        <v>38.200000000000003</v>
      </c>
      <c r="V101" s="188">
        <v>0.7</v>
      </c>
      <c r="W101" s="188">
        <f>(U101/100+V101)/2</f>
        <v>0.54099999999999993</v>
      </c>
      <c r="X101" s="188"/>
      <c r="Y101" s="188">
        <v>0.31</v>
      </c>
      <c r="Z101" s="188">
        <f>(Y101+N101)/2</f>
        <v>0.48366666666666669</v>
      </c>
      <c r="AA101" s="188" t="s">
        <v>223</v>
      </c>
      <c r="AB101" s="188">
        <v>0.1</v>
      </c>
      <c r="AC101" s="188">
        <f t="shared" ref="AC101:AC132" si="52">EXP(T101*(AB101+Z101+W101))</f>
        <v>2.252992334877058</v>
      </c>
      <c r="AD101" s="188">
        <v>80</v>
      </c>
      <c r="AE101" s="188">
        <v>85</v>
      </c>
      <c r="AF101" s="188">
        <v>3.48</v>
      </c>
      <c r="AG101" s="188"/>
      <c r="AH101" s="188">
        <v>5.07</v>
      </c>
      <c r="AI101" s="188">
        <f t="shared" si="50"/>
        <v>8.4392556667243296E-2</v>
      </c>
    </row>
    <row r="102" spans="4:35" ht="14">
      <c r="D102" s="164" t="s">
        <v>99</v>
      </c>
      <c r="E102" s="181">
        <v>4</v>
      </c>
      <c r="F102" s="181">
        <v>3</v>
      </c>
      <c r="G102" s="182" t="s">
        <v>3</v>
      </c>
      <c r="H102" s="131">
        <f t="shared" si="44"/>
        <v>1.8333333333333335</v>
      </c>
      <c r="I102" s="131" t="s">
        <v>225</v>
      </c>
      <c r="J102" s="131" t="s">
        <v>225</v>
      </c>
      <c r="K102" s="131">
        <v>1</v>
      </c>
      <c r="L102" s="131">
        <v>1</v>
      </c>
      <c r="M102" s="131">
        <f t="shared" si="45"/>
        <v>0.48199999999999998</v>
      </c>
      <c r="N102" s="131">
        <f t="shared" si="46"/>
        <v>0.64266666666666661</v>
      </c>
      <c r="O102" s="131">
        <v>0.48</v>
      </c>
      <c r="P102" s="131">
        <v>0.2</v>
      </c>
      <c r="Q102" s="131">
        <f t="shared" si="47"/>
        <v>0.11432835820895523</v>
      </c>
      <c r="R102" s="188">
        <f t="shared" si="51"/>
        <v>25.057108146071617</v>
      </c>
      <c r="S102" s="188">
        <f t="shared" si="48"/>
        <v>0.10496023661901799</v>
      </c>
      <c r="T102" s="188">
        <f t="shared" si="49"/>
        <v>0.7222222222222221</v>
      </c>
      <c r="U102" s="188" t="s">
        <v>225</v>
      </c>
      <c r="V102" s="188">
        <f>1-0.755</f>
        <v>0.245</v>
      </c>
      <c r="W102" s="188">
        <f>V102</f>
        <v>0.245</v>
      </c>
      <c r="X102" s="188">
        <v>0.47</v>
      </c>
      <c r="Y102" s="188">
        <v>0.57999999999999996</v>
      </c>
      <c r="Z102" s="188">
        <f>(Y102+X102+M102)/3</f>
        <v>0.5106666666666666</v>
      </c>
      <c r="AA102" s="188" t="s">
        <v>225</v>
      </c>
      <c r="AB102" s="188">
        <v>0.3</v>
      </c>
      <c r="AC102" s="188">
        <f t="shared" si="52"/>
        <v>2.1434698173104154</v>
      </c>
      <c r="AD102" s="188">
        <v>33</v>
      </c>
      <c r="AE102" s="188">
        <v>30</v>
      </c>
      <c r="AF102" s="188">
        <v>6.4</v>
      </c>
      <c r="AG102" s="188"/>
      <c r="AH102" s="188">
        <v>5.18</v>
      </c>
      <c r="AI102" s="188">
        <f t="shared" si="50"/>
        <v>8.5543383730275466E-2</v>
      </c>
    </row>
    <row r="103" spans="4:35" ht="14">
      <c r="D103" s="164" t="s">
        <v>100</v>
      </c>
      <c r="E103" s="181">
        <v>1</v>
      </c>
      <c r="F103" s="181">
        <v>1</v>
      </c>
      <c r="G103" s="182" t="s">
        <v>8</v>
      </c>
      <c r="H103" s="131">
        <f t="shared" si="44"/>
        <v>1</v>
      </c>
      <c r="I103" s="131"/>
      <c r="J103" s="131">
        <f t="shared" ref="J103:J134" si="53">1.153*I103/15-1</f>
        <v>-1</v>
      </c>
      <c r="K103" s="131">
        <v>0.67</v>
      </c>
      <c r="L103" s="131">
        <v>0.67</v>
      </c>
      <c r="M103" s="131">
        <f t="shared" si="45"/>
        <v>0.19000000000000006</v>
      </c>
      <c r="N103" s="131">
        <f t="shared" si="46"/>
        <v>0.25333333333333341</v>
      </c>
      <c r="O103" s="131">
        <v>0</v>
      </c>
      <c r="P103" s="131">
        <v>0.2</v>
      </c>
      <c r="Q103" s="131">
        <f t="shared" si="47"/>
        <v>0.1</v>
      </c>
      <c r="R103" s="188">
        <f t="shared" si="51"/>
        <v>2.7824541702811847</v>
      </c>
      <c r="S103" s="188">
        <f t="shared" si="48"/>
        <v>0.94520873985652087</v>
      </c>
      <c r="T103" s="188">
        <f t="shared" si="49"/>
        <v>1</v>
      </c>
      <c r="U103" s="188"/>
      <c r="V103" s="188">
        <f>1-0.891</f>
        <v>0.10899999999999999</v>
      </c>
      <c r="W103" s="188">
        <f>V103</f>
        <v>0.10899999999999999</v>
      </c>
      <c r="X103" s="188"/>
      <c r="Y103" s="188">
        <v>1.05</v>
      </c>
      <c r="Z103" s="188">
        <f>(Y103+N103)/2</f>
        <v>0.65166666666666673</v>
      </c>
      <c r="AA103" s="188" t="s">
        <v>223</v>
      </c>
      <c r="AB103" s="188">
        <v>0.1</v>
      </c>
      <c r="AC103" s="188">
        <f t="shared" si="52"/>
        <v>2.3647366594318049</v>
      </c>
      <c r="AD103" s="188" t="s">
        <v>223</v>
      </c>
      <c r="AE103" s="188">
        <v>2.8</v>
      </c>
      <c r="AF103" s="188">
        <v>3.5999999999999997E-2</v>
      </c>
      <c r="AG103" s="188"/>
      <c r="AH103" s="188">
        <v>8.1</v>
      </c>
      <c r="AI103" s="188">
        <f t="shared" si="50"/>
        <v>0.84987443268215024</v>
      </c>
    </row>
    <row r="104" spans="4:35" ht="14">
      <c r="D104" s="164" t="s">
        <v>101</v>
      </c>
      <c r="E104" s="181">
        <v>1</v>
      </c>
      <c r="F104" s="181">
        <v>1</v>
      </c>
      <c r="G104" s="182" t="s">
        <v>8</v>
      </c>
      <c r="H104" s="131">
        <f t="shared" si="44"/>
        <v>1</v>
      </c>
      <c r="I104" s="131">
        <v>29.1</v>
      </c>
      <c r="J104" s="131">
        <f t="shared" si="53"/>
        <v>1.2368200000000003</v>
      </c>
      <c r="K104" s="131">
        <f t="shared" ref="K104:K109" si="54">(J104+L104)/2</f>
        <v>0.99341000000000013</v>
      </c>
      <c r="L104" s="131">
        <v>0.75</v>
      </c>
      <c r="M104" s="131">
        <f t="shared" si="45"/>
        <v>0.27600000000000002</v>
      </c>
      <c r="N104" s="131">
        <f t="shared" si="46"/>
        <v>0.36800000000000005</v>
      </c>
      <c r="O104" s="131">
        <v>0.1</v>
      </c>
      <c r="P104" s="131">
        <v>0.2</v>
      </c>
      <c r="Q104" s="131">
        <f t="shared" si="47"/>
        <v>0.10298507462686568</v>
      </c>
      <c r="R104" s="188">
        <f t="shared" si="51"/>
        <v>4.3249261912308787</v>
      </c>
      <c r="S104" s="188">
        <f t="shared" si="48"/>
        <v>0.60810286319626161</v>
      </c>
      <c r="T104" s="188">
        <f t="shared" si="49"/>
        <v>1</v>
      </c>
      <c r="U104" s="188">
        <v>35.5</v>
      </c>
      <c r="V104" s="188">
        <f>1-0.783</f>
        <v>0.21699999999999997</v>
      </c>
      <c r="W104" s="188">
        <f t="shared" ref="W104:W109" si="55">(U104/100+V104)/2</f>
        <v>0.28599999999999998</v>
      </c>
      <c r="X104" s="188">
        <v>0.377</v>
      </c>
      <c r="Y104" s="188">
        <v>0.42</v>
      </c>
      <c r="Z104" s="188">
        <f>(Y104+X104+M104)/3</f>
        <v>0.35766666666666663</v>
      </c>
      <c r="AA104" s="188">
        <f>-14/105</f>
        <v>-0.13333333333333333</v>
      </c>
      <c r="AB104" s="188">
        <f>AA104</f>
        <v>-0.13333333333333333</v>
      </c>
      <c r="AC104" s="188">
        <f t="shared" si="52"/>
        <v>1.6658463845373261</v>
      </c>
      <c r="AD104" s="188">
        <v>4</v>
      </c>
      <c r="AE104" s="188">
        <v>15.6</v>
      </c>
      <c r="AF104" s="188">
        <v>3.1920000000000002</v>
      </c>
      <c r="AG104" s="188"/>
      <c r="AH104" s="188">
        <v>7.24</v>
      </c>
      <c r="AI104" s="188">
        <f t="shared" si="50"/>
        <v>0.38517336733166874</v>
      </c>
    </row>
    <row r="105" spans="4:35" ht="14">
      <c r="D105" s="164" t="s">
        <v>102</v>
      </c>
      <c r="E105" s="181">
        <v>1</v>
      </c>
      <c r="F105" s="181">
        <v>1</v>
      </c>
      <c r="G105" s="182" t="s">
        <v>8</v>
      </c>
      <c r="H105" s="131">
        <f t="shared" si="44"/>
        <v>1</v>
      </c>
      <c r="I105" s="131">
        <v>23.8</v>
      </c>
      <c r="J105" s="131">
        <f t="shared" si="53"/>
        <v>0.82942666666666676</v>
      </c>
      <c r="K105" s="131">
        <f t="shared" si="54"/>
        <v>0.74971333333333345</v>
      </c>
      <c r="L105" s="131">
        <v>0.67</v>
      </c>
      <c r="M105" s="131">
        <f t="shared" si="45"/>
        <v>0.11199999999999988</v>
      </c>
      <c r="N105" s="131">
        <f t="shared" si="46"/>
        <v>0.14933333333333318</v>
      </c>
      <c r="O105" s="131">
        <v>0.2</v>
      </c>
      <c r="P105" s="131">
        <v>0.2</v>
      </c>
      <c r="Q105" s="131">
        <f t="shared" si="47"/>
        <v>0.10597014925373135</v>
      </c>
      <c r="R105" s="188">
        <f t="shared" si="51"/>
        <v>2.7319532127474218</v>
      </c>
      <c r="S105" s="188">
        <f t="shared" si="48"/>
        <v>0.96268120102800314</v>
      </c>
      <c r="T105" s="188">
        <f t="shared" si="49"/>
        <v>1</v>
      </c>
      <c r="U105" s="188">
        <v>26</v>
      </c>
      <c r="V105" s="188">
        <f>1-0.852</f>
        <v>0.14800000000000002</v>
      </c>
      <c r="W105" s="188">
        <f t="shared" si="55"/>
        <v>0.20400000000000001</v>
      </c>
      <c r="X105" s="188">
        <v>0.20399999999999999</v>
      </c>
      <c r="Y105" s="188">
        <v>0.64</v>
      </c>
      <c r="Z105" s="188">
        <f>(Y105+X105+M105)/3</f>
        <v>0.3186666666666666</v>
      </c>
      <c r="AA105" s="188">
        <f>-1/113</f>
        <v>-8.8495575221238937E-3</v>
      </c>
      <c r="AB105" s="188">
        <f>AA105</f>
        <v>-8.8495575221238937E-3</v>
      </c>
      <c r="AC105" s="188">
        <f t="shared" si="52"/>
        <v>1.6716599405601147</v>
      </c>
      <c r="AD105" s="188" t="s">
        <v>223</v>
      </c>
      <c r="AE105" s="188">
        <v>6</v>
      </c>
      <c r="AF105" s="188">
        <v>0.51100000000000001</v>
      </c>
      <c r="AG105" s="188"/>
      <c r="AH105" s="188">
        <v>8.8800000000000008</v>
      </c>
      <c r="AI105" s="188">
        <f t="shared" si="50"/>
        <v>0.61189186284745689</v>
      </c>
    </row>
    <row r="106" spans="4:35" ht="14">
      <c r="D106" s="164" t="s">
        <v>103</v>
      </c>
      <c r="E106" s="181">
        <v>3</v>
      </c>
      <c r="F106" s="181">
        <v>3</v>
      </c>
      <c r="G106" s="182" t="s">
        <v>3</v>
      </c>
      <c r="H106" s="131">
        <f t="shared" si="44"/>
        <v>1.6666666666666665</v>
      </c>
      <c r="I106" s="131">
        <v>34.5</v>
      </c>
      <c r="J106" s="131">
        <f t="shared" si="53"/>
        <v>1.6518999999999999</v>
      </c>
      <c r="K106" s="131">
        <f t="shared" si="54"/>
        <v>1.20095</v>
      </c>
      <c r="L106" s="131">
        <v>0.75</v>
      </c>
      <c r="M106" s="131">
        <f t="shared" si="45"/>
        <v>0.38400000000000001</v>
      </c>
      <c r="N106" s="131">
        <f t="shared" si="46"/>
        <v>0.51200000000000001</v>
      </c>
      <c r="O106" s="131">
        <v>0.06</v>
      </c>
      <c r="P106" s="131">
        <v>0.2</v>
      </c>
      <c r="Q106" s="131">
        <f t="shared" si="47"/>
        <v>0.1017910447761194</v>
      </c>
      <c r="R106" s="188">
        <f t="shared" si="51"/>
        <v>20.58511842045916</v>
      </c>
      <c r="S106" s="188">
        <f t="shared" si="48"/>
        <v>0.12776219919075582</v>
      </c>
      <c r="T106" s="188">
        <f t="shared" si="49"/>
        <v>0.77777777777777779</v>
      </c>
      <c r="U106" s="188">
        <v>44.2</v>
      </c>
      <c r="V106" s="188">
        <f>0.299</f>
        <v>0.29899999999999999</v>
      </c>
      <c r="W106" s="188">
        <f t="shared" si="55"/>
        <v>0.3705</v>
      </c>
      <c r="X106" s="188">
        <v>0.28199999999999997</v>
      </c>
      <c r="Y106" s="188">
        <v>0.9</v>
      </c>
      <c r="Z106" s="188">
        <f>(Y106+X106+M106)/3</f>
        <v>0.52199999999999991</v>
      </c>
      <c r="AA106" s="188">
        <f>17/115</f>
        <v>0.14782608695652175</v>
      </c>
      <c r="AB106" s="188">
        <f>AA106</f>
        <v>0.14782608695652175</v>
      </c>
      <c r="AC106" s="188">
        <f t="shared" si="52"/>
        <v>2.2459812589174932</v>
      </c>
      <c r="AD106" s="188">
        <v>30.9</v>
      </c>
      <c r="AE106" s="188">
        <v>29.1</v>
      </c>
      <c r="AF106" s="188">
        <v>2.1</v>
      </c>
      <c r="AG106" s="188"/>
      <c r="AH106" s="188">
        <v>6.16</v>
      </c>
      <c r="AI106" s="188">
        <f t="shared" si="50"/>
        <v>0.10910703611426664</v>
      </c>
    </row>
    <row r="107" spans="4:35" ht="14">
      <c r="D107" s="164" t="s">
        <v>104</v>
      </c>
      <c r="E107" s="181">
        <v>6</v>
      </c>
      <c r="F107" s="181">
        <v>4</v>
      </c>
      <c r="G107" s="182" t="s">
        <v>3</v>
      </c>
      <c r="H107" s="131">
        <f t="shared" si="44"/>
        <v>2.333333333333333</v>
      </c>
      <c r="I107" s="131">
        <v>41.5</v>
      </c>
      <c r="J107" s="131">
        <f t="shared" si="53"/>
        <v>2.1899666666666664</v>
      </c>
      <c r="K107" s="131">
        <f t="shared" si="54"/>
        <v>1.4299833333333332</v>
      </c>
      <c r="L107" s="131">
        <v>0.67</v>
      </c>
      <c r="M107" s="131">
        <f t="shared" si="45"/>
        <v>0.60599999999999998</v>
      </c>
      <c r="N107" s="131">
        <f t="shared" si="46"/>
        <v>0.80799999999999994</v>
      </c>
      <c r="O107" s="131">
        <v>0.08</v>
      </c>
      <c r="P107" s="131">
        <v>0.2</v>
      </c>
      <c r="Q107" s="131">
        <f t="shared" si="47"/>
        <v>0.10238805970149255</v>
      </c>
      <c r="R107" s="188">
        <f t="shared" si="51"/>
        <v>235.30124427312737</v>
      </c>
      <c r="S107" s="188">
        <f t="shared" si="48"/>
        <v>1.1177161464336378E-2</v>
      </c>
      <c r="T107" s="188">
        <f t="shared" si="49"/>
        <v>0.55555555555555558</v>
      </c>
      <c r="U107" s="188">
        <v>47.5</v>
      </c>
      <c r="V107" s="188">
        <v>0.56499999999999995</v>
      </c>
      <c r="W107" s="188">
        <f t="shared" si="55"/>
        <v>0.52</v>
      </c>
      <c r="X107" s="188"/>
      <c r="Y107" s="188">
        <v>0.67</v>
      </c>
      <c r="Z107" s="188">
        <f>(Y107+N107)/2</f>
        <v>0.73899999999999999</v>
      </c>
      <c r="AA107" s="188">
        <f>-12/116</f>
        <v>-0.10344827586206896</v>
      </c>
      <c r="AB107" s="188">
        <f>AA107</f>
        <v>-0.10344827586206896</v>
      </c>
      <c r="AC107" s="188">
        <f t="shared" si="52"/>
        <v>1.9002266719380652</v>
      </c>
      <c r="AD107" s="188">
        <v>50</v>
      </c>
      <c r="AE107" s="188"/>
      <c r="AF107" s="188">
        <v>21</v>
      </c>
      <c r="AG107" s="188"/>
      <c r="AH107" s="188">
        <v>3.94</v>
      </c>
      <c r="AI107" s="188">
        <f t="shared" si="50"/>
        <v>8.075718757068558E-3</v>
      </c>
    </row>
    <row r="108" spans="4:35" ht="14">
      <c r="D108" s="164" t="s">
        <v>105</v>
      </c>
      <c r="E108" s="181">
        <v>3</v>
      </c>
      <c r="F108" s="181">
        <v>4</v>
      </c>
      <c r="G108" s="182" t="s">
        <v>3</v>
      </c>
      <c r="H108" s="131">
        <f t="shared" si="44"/>
        <v>1.8333333333333335</v>
      </c>
      <c r="I108" s="131">
        <v>32</v>
      </c>
      <c r="J108" s="131">
        <f t="shared" si="53"/>
        <v>1.4597333333333333</v>
      </c>
      <c r="K108" s="131">
        <f t="shared" si="54"/>
        <v>1.1048666666666667</v>
      </c>
      <c r="L108" s="131">
        <v>0.75</v>
      </c>
      <c r="M108" s="131">
        <f t="shared" si="45"/>
        <v>0.41600000000000004</v>
      </c>
      <c r="N108" s="131">
        <f t="shared" si="46"/>
        <v>0.55466666666666675</v>
      </c>
      <c r="O108" s="131">
        <v>0.06</v>
      </c>
      <c r="P108" s="183">
        <v>0.2</v>
      </c>
      <c r="Q108" s="131">
        <f t="shared" si="47"/>
        <v>0.1017910447761194</v>
      </c>
      <c r="R108" s="188">
        <f t="shared" si="51"/>
        <v>25.256781481852467</v>
      </c>
      <c r="S108" s="188">
        <f t="shared" si="48"/>
        <v>0.10413044915836607</v>
      </c>
      <c r="T108" s="188">
        <f t="shared" si="49"/>
        <v>0.7222222222222221</v>
      </c>
      <c r="U108" s="188">
        <v>39</v>
      </c>
      <c r="V108" s="188">
        <f>1-0.385</f>
        <v>0.61499999999999999</v>
      </c>
      <c r="W108" s="188">
        <f t="shared" si="55"/>
        <v>0.50249999999999995</v>
      </c>
      <c r="X108" s="188">
        <v>0.36799999999999999</v>
      </c>
      <c r="Y108" s="188">
        <f>1-0.46</f>
        <v>0.54</v>
      </c>
      <c r="Z108" s="188">
        <f>(Y108+X108+M108)/3</f>
        <v>0.44133333333333336</v>
      </c>
      <c r="AA108" s="188" t="s">
        <v>225</v>
      </c>
      <c r="AB108" s="188">
        <v>0.1</v>
      </c>
      <c r="AC108" s="188">
        <f t="shared" si="52"/>
        <v>2.1252291452669851</v>
      </c>
      <c r="AD108" s="188">
        <v>53</v>
      </c>
      <c r="AE108" s="188"/>
      <c r="AF108" s="188">
        <v>13</v>
      </c>
      <c r="AG108" s="188"/>
      <c r="AH108" s="188">
        <v>5.84</v>
      </c>
      <c r="AI108" s="188">
        <f t="shared" si="50"/>
        <v>8.4144891810304781E-2</v>
      </c>
    </row>
    <row r="109" spans="4:35" ht="14">
      <c r="D109" s="164" t="s">
        <v>106</v>
      </c>
      <c r="E109" s="181">
        <v>4</v>
      </c>
      <c r="F109" s="181">
        <v>4</v>
      </c>
      <c r="G109" s="182" t="s">
        <v>3</v>
      </c>
      <c r="H109" s="131">
        <f t="shared" si="44"/>
        <v>2</v>
      </c>
      <c r="I109" s="131">
        <v>34.700000000000003</v>
      </c>
      <c r="J109" s="131">
        <f t="shared" si="53"/>
        <v>1.6672733333333336</v>
      </c>
      <c r="K109" s="131">
        <f t="shared" si="54"/>
        <v>1.2086366666666668</v>
      </c>
      <c r="L109" s="131">
        <v>0.75</v>
      </c>
      <c r="M109" s="131">
        <f t="shared" si="45"/>
        <v>0.38100000000000001</v>
      </c>
      <c r="N109" s="131">
        <f t="shared" si="46"/>
        <v>0.50800000000000001</v>
      </c>
      <c r="O109" s="131">
        <v>0.73</v>
      </c>
      <c r="P109" s="131">
        <v>0.4</v>
      </c>
      <c r="Q109" s="131">
        <f t="shared" si="47"/>
        <v>0.22179104477611941</v>
      </c>
      <c r="R109" s="188">
        <f t="shared" si="51"/>
        <v>48.272180560250838</v>
      </c>
      <c r="S109" s="188">
        <f t="shared" si="48"/>
        <v>5.4482726271653917E-2</v>
      </c>
      <c r="T109" s="188">
        <f t="shared" si="49"/>
        <v>0.66666666666666674</v>
      </c>
      <c r="U109" s="188">
        <v>46.2</v>
      </c>
      <c r="V109" s="188">
        <f>1-0.744</f>
        <v>0.25600000000000001</v>
      </c>
      <c r="W109" s="188">
        <f t="shared" si="55"/>
        <v>0.35899999999999999</v>
      </c>
      <c r="X109" s="188">
        <v>0.53500000000000003</v>
      </c>
      <c r="Y109" s="188">
        <v>0.48</v>
      </c>
      <c r="Z109" s="188">
        <f>(Y109+X109+M109)/3</f>
        <v>0.46533333333333338</v>
      </c>
      <c r="AA109" s="188">
        <f>2/124</f>
        <v>1.6129032258064516E-2</v>
      </c>
      <c r="AB109" s="188">
        <f>AA109</f>
        <v>1.6129032258064516E-2</v>
      </c>
      <c r="AC109" s="188">
        <f t="shared" si="52"/>
        <v>1.7512122172913127</v>
      </c>
      <c r="AD109" s="188">
        <v>3.8</v>
      </c>
      <c r="AE109" s="188">
        <v>3.1</v>
      </c>
      <c r="AF109" s="188">
        <v>29</v>
      </c>
      <c r="AG109" s="188"/>
      <c r="AH109" s="188">
        <v>6.19</v>
      </c>
      <c r="AI109" s="188">
        <f t="shared" si="50"/>
        <v>3.6277876759794186E-2</v>
      </c>
    </row>
    <row r="110" spans="4:35" ht="14">
      <c r="D110" s="164" t="s">
        <v>107</v>
      </c>
      <c r="E110" s="181">
        <v>3</v>
      </c>
      <c r="F110" s="181">
        <v>4</v>
      </c>
      <c r="G110" s="182" t="s">
        <v>3</v>
      </c>
      <c r="H110" s="131">
        <f t="shared" si="44"/>
        <v>1.8333333333333335</v>
      </c>
      <c r="I110" s="131"/>
      <c r="J110" s="131">
        <f t="shared" si="53"/>
        <v>-1</v>
      </c>
      <c r="K110" s="131">
        <v>0.67</v>
      </c>
      <c r="L110" s="131">
        <v>0.67</v>
      </c>
      <c r="M110" s="131">
        <f t="shared" si="45"/>
        <v>0.51</v>
      </c>
      <c r="N110" s="131">
        <f t="shared" si="46"/>
        <v>0.68</v>
      </c>
      <c r="O110" s="131">
        <v>0.03</v>
      </c>
      <c r="P110" s="131">
        <v>0.2</v>
      </c>
      <c r="Q110" s="131">
        <f t="shared" si="47"/>
        <v>0.10089552238805971</v>
      </c>
      <c r="R110" s="188">
        <f t="shared" si="51"/>
        <v>14.29593347401876</v>
      </c>
      <c r="S110" s="188">
        <f t="shared" si="48"/>
        <v>0.18396839945986926</v>
      </c>
      <c r="T110" s="188">
        <f t="shared" si="49"/>
        <v>0.7222222222222221</v>
      </c>
      <c r="U110" s="188"/>
      <c r="V110" s="188">
        <v>0.39800000000000002</v>
      </c>
      <c r="W110" s="188">
        <f>V110</f>
        <v>0.39800000000000002</v>
      </c>
      <c r="X110" s="188"/>
      <c r="Y110" s="188">
        <v>0.35</v>
      </c>
      <c r="Z110" s="188">
        <f>(Y110+N110)/2</f>
        <v>0.51500000000000001</v>
      </c>
      <c r="AA110" s="188" t="s">
        <v>225</v>
      </c>
      <c r="AB110" s="188">
        <v>0.1</v>
      </c>
      <c r="AC110" s="188">
        <f t="shared" si="52"/>
        <v>2.0784264876660772</v>
      </c>
      <c r="AD110" s="188">
        <v>16</v>
      </c>
      <c r="AE110" s="188">
        <v>14.5</v>
      </c>
      <c r="AF110" s="188">
        <v>0.34699999999999998</v>
      </c>
      <c r="AG110" s="188"/>
      <c r="AH110" s="188">
        <v>4.9000000000000004</v>
      </c>
      <c r="AI110" s="188">
        <f t="shared" si="50"/>
        <v>0.14538585335776652</v>
      </c>
    </row>
    <row r="111" spans="4:35" ht="14">
      <c r="D111" s="164" t="s">
        <v>108</v>
      </c>
      <c r="E111" s="181">
        <v>2</v>
      </c>
      <c r="F111" s="181">
        <v>3</v>
      </c>
      <c r="G111" s="182" t="s">
        <v>8</v>
      </c>
      <c r="H111" s="131">
        <f t="shared" si="44"/>
        <v>1.5</v>
      </c>
      <c r="I111" s="131">
        <v>30.5</v>
      </c>
      <c r="J111" s="131">
        <f t="shared" si="53"/>
        <v>1.3444333333333334</v>
      </c>
      <c r="K111" s="131">
        <f>(J111+L111)/2</f>
        <v>1.0472166666666667</v>
      </c>
      <c r="L111" s="131">
        <v>0.75</v>
      </c>
      <c r="M111" s="131">
        <f t="shared" si="45"/>
        <v>0.39900000000000002</v>
      </c>
      <c r="N111" s="131">
        <f t="shared" si="46"/>
        <v>0.53200000000000003</v>
      </c>
      <c r="O111" s="131">
        <v>7.0000000000000007E-2</v>
      </c>
      <c r="P111" s="131">
        <v>0.2</v>
      </c>
      <c r="Q111" s="131">
        <f t="shared" si="47"/>
        <v>0.10208955223880598</v>
      </c>
      <c r="R111" s="188">
        <f t="shared" si="51"/>
        <v>12.452972237551814</v>
      </c>
      <c r="S111" s="188">
        <f t="shared" si="48"/>
        <v>0.2111945606101378</v>
      </c>
      <c r="T111" s="188">
        <f t="shared" si="49"/>
        <v>0.83333333333333337</v>
      </c>
      <c r="U111" s="188">
        <v>40.1</v>
      </c>
      <c r="V111" s="188">
        <v>0.69099999999999995</v>
      </c>
      <c r="W111" s="188">
        <f>(U111/100+V111)/2</f>
        <v>0.54600000000000004</v>
      </c>
      <c r="X111" s="188">
        <v>0.32600000000000001</v>
      </c>
      <c r="Y111" s="188">
        <v>0.47</v>
      </c>
      <c r="Z111" s="188">
        <f>(Y111+X111+M111)/3</f>
        <v>0.39833333333333337</v>
      </c>
      <c r="AA111" s="188">
        <f>-8/126</f>
        <v>-6.3492063492063489E-2</v>
      </c>
      <c r="AB111" s="188">
        <f>AA111</f>
        <v>-6.3492063492063489E-2</v>
      </c>
      <c r="AC111" s="188">
        <f t="shared" si="52"/>
        <v>2.0834692053767299</v>
      </c>
      <c r="AD111" s="188">
        <v>36.1</v>
      </c>
      <c r="AE111" s="188">
        <v>30</v>
      </c>
      <c r="AF111" s="188">
        <v>15</v>
      </c>
      <c r="AG111" s="188"/>
      <c r="AH111" s="188">
        <v>6.01</v>
      </c>
      <c r="AI111" s="188">
        <f t="shared" si="50"/>
        <v>0.16730698227159371</v>
      </c>
    </row>
    <row r="112" spans="4:35" ht="14">
      <c r="D112" s="164" t="s">
        <v>109</v>
      </c>
      <c r="E112" s="181">
        <v>1</v>
      </c>
      <c r="F112" s="181">
        <v>1</v>
      </c>
      <c r="G112" s="182" t="s">
        <v>8</v>
      </c>
      <c r="H112" s="131">
        <f t="shared" si="44"/>
        <v>1</v>
      </c>
      <c r="I112" s="131"/>
      <c r="J112" s="131">
        <f t="shared" si="53"/>
        <v>-1</v>
      </c>
      <c r="K112" s="131">
        <v>0.67</v>
      </c>
      <c r="L112" s="131">
        <v>0.67</v>
      </c>
      <c r="M112" s="131">
        <f t="shared" si="45"/>
        <v>0.17200000000000004</v>
      </c>
      <c r="N112" s="131">
        <f t="shared" si="46"/>
        <v>0.22933333333333339</v>
      </c>
      <c r="O112" s="131">
        <v>7.0000000000000007E-2</v>
      </c>
      <c r="P112" s="131">
        <v>0.2</v>
      </c>
      <c r="Q112" s="131">
        <f t="shared" si="47"/>
        <v>0.10208955223880598</v>
      </c>
      <c r="R112" s="188">
        <f t="shared" si="51"/>
        <v>2.7221523854806109</v>
      </c>
      <c r="S112" s="188">
        <f t="shared" si="48"/>
        <v>0.96614723482339471</v>
      </c>
      <c r="T112" s="188">
        <f t="shared" si="49"/>
        <v>1</v>
      </c>
      <c r="U112" s="188">
        <v>26</v>
      </c>
      <c r="V112" s="188">
        <f>1-0.815</f>
        <v>0.18500000000000005</v>
      </c>
      <c r="W112" s="188">
        <f>(U112/100+V112)/2</f>
        <v>0.22250000000000003</v>
      </c>
      <c r="X112" s="188">
        <v>0.68</v>
      </c>
      <c r="Y112" s="188">
        <v>0.75</v>
      </c>
      <c r="Z112" s="188">
        <f>(Y112+X112+M112)/3</f>
        <v>0.53400000000000014</v>
      </c>
      <c r="AA112" s="188">
        <f>-8/108</f>
        <v>-7.407407407407407E-2</v>
      </c>
      <c r="AB112" s="188">
        <f>AA112</f>
        <v>-7.407407407407407E-2</v>
      </c>
      <c r="AC112" s="188">
        <f t="shared" si="52"/>
        <v>1.9786720263456208</v>
      </c>
      <c r="AD112" s="188" t="s">
        <v>223</v>
      </c>
      <c r="AE112" s="188">
        <v>6.2</v>
      </c>
      <c r="AF112" s="188">
        <v>0.41699999999999998</v>
      </c>
      <c r="AG112" s="188"/>
      <c r="AH112" s="188">
        <v>8.2799999999999994</v>
      </c>
      <c r="AI112" s="188">
        <f t="shared" si="50"/>
        <v>0.7268777592685266</v>
      </c>
    </row>
    <row r="113" spans="4:35" ht="14">
      <c r="D113" s="165" t="s">
        <v>110</v>
      </c>
      <c r="E113" s="181">
        <v>1</v>
      </c>
      <c r="F113" s="181">
        <v>1</v>
      </c>
      <c r="G113" s="182" t="s">
        <v>8</v>
      </c>
      <c r="H113" s="131">
        <f t="shared" si="44"/>
        <v>1</v>
      </c>
      <c r="I113" s="131"/>
      <c r="J113" s="131">
        <f t="shared" si="53"/>
        <v>-1</v>
      </c>
      <c r="K113" s="131">
        <v>0.75</v>
      </c>
      <c r="L113" s="131">
        <v>0.75</v>
      </c>
      <c r="M113" s="131">
        <f t="shared" si="45"/>
        <v>0.19000000000000006</v>
      </c>
      <c r="N113" s="131">
        <f t="shared" si="46"/>
        <v>0.25333333333333341</v>
      </c>
      <c r="O113" s="131">
        <v>0.03</v>
      </c>
      <c r="P113" s="131">
        <v>0.2</v>
      </c>
      <c r="Q113" s="131">
        <f t="shared" si="47"/>
        <v>0.10089552238805971</v>
      </c>
      <c r="R113" s="188">
        <f t="shared" si="51"/>
        <v>3.0168971086122003</v>
      </c>
      <c r="S113" s="188">
        <f t="shared" si="48"/>
        <v>0.87175661128523652</v>
      </c>
      <c r="T113" s="188">
        <f t="shared" si="49"/>
        <v>1</v>
      </c>
      <c r="U113" s="188"/>
      <c r="V113" s="189">
        <v>0.15</v>
      </c>
      <c r="W113" s="188">
        <f>V113</f>
        <v>0.15</v>
      </c>
      <c r="X113" s="188"/>
      <c r="Y113" s="188">
        <v>1.03</v>
      </c>
      <c r="Z113" s="188">
        <f>(Y113+N113)/2</f>
        <v>0.64166666666666672</v>
      </c>
      <c r="AA113" s="188" t="s">
        <v>223</v>
      </c>
      <c r="AB113" s="188">
        <v>0.1</v>
      </c>
      <c r="AC113" s="188">
        <f t="shared" si="52"/>
        <v>2.4391915847129479</v>
      </c>
      <c r="AD113" s="188" t="s">
        <v>223</v>
      </c>
      <c r="AE113" s="188">
        <v>36</v>
      </c>
      <c r="AF113" s="188">
        <v>5.8999999999999997E-2</v>
      </c>
      <c r="AG113" s="188"/>
      <c r="AH113" s="188">
        <v>8.1</v>
      </c>
      <c r="AI113" s="188">
        <f t="shared" si="50"/>
        <v>0.80851003428320367</v>
      </c>
    </row>
    <row r="114" spans="4:35" ht="14">
      <c r="D114" s="164" t="s">
        <v>111</v>
      </c>
      <c r="E114" s="181">
        <v>6</v>
      </c>
      <c r="F114" s="181">
        <v>5</v>
      </c>
      <c r="G114" s="182" t="s">
        <v>4</v>
      </c>
      <c r="H114" s="131">
        <f t="shared" si="44"/>
        <v>2.5</v>
      </c>
      <c r="I114" s="131">
        <v>29.5</v>
      </c>
      <c r="J114" s="131">
        <f t="shared" si="53"/>
        <v>1.2675666666666667</v>
      </c>
      <c r="K114" s="131">
        <f>(J114+L114)/2</f>
        <v>1.0087833333333334</v>
      </c>
      <c r="L114" s="131">
        <v>0.75</v>
      </c>
      <c r="M114" s="131">
        <f t="shared" si="45"/>
        <v>0.61399999999999999</v>
      </c>
      <c r="N114" s="131">
        <f t="shared" si="46"/>
        <v>0.81866666666666665</v>
      </c>
      <c r="O114" s="131">
        <v>0.05</v>
      </c>
      <c r="P114" s="131">
        <v>0.2</v>
      </c>
      <c r="Q114" s="131">
        <f t="shared" si="47"/>
        <v>0.10149253731343284</v>
      </c>
      <c r="R114" s="188">
        <f t="shared" si="51"/>
        <v>124.25753950836535</v>
      </c>
      <c r="S114" s="188">
        <f t="shared" si="48"/>
        <v>2.1165717673195528E-2</v>
      </c>
      <c r="T114" s="188">
        <f t="shared" si="49"/>
        <v>0.5</v>
      </c>
      <c r="U114" s="188">
        <v>39</v>
      </c>
      <c r="V114" s="188">
        <v>0.56699999999999995</v>
      </c>
      <c r="W114" s="188">
        <f>(U114/100+V114)/2</f>
        <v>0.47849999999999998</v>
      </c>
      <c r="X114" s="188"/>
      <c r="Y114" s="188">
        <v>0.49</v>
      </c>
      <c r="Z114" s="188">
        <f>(Y114+N114)/2</f>
        <v>0.65433333333333332</v>
      </c>
      <c r="AA114" s="188" t="s">
        <v>225</v>
      </c>
      <c r="AB114" s="188">
        <v>0.1</v>
      </c>
      <c r="AC114" s="188">
        <f t="shared" si="52"/>
        <v>1.8522788033635118</v>
      </c>
      <c r="AD114" s="188">
        <v>40</v>
      </c>
      <c r="AE114" s="188">
        <v>30</v>
      </c>
      <c r="AF114" s="188">
        <v>3.3</v>
      </c>
      <c r="AG114" s="188"/>
      <c r="AH114" s="188">
        <v>3.86</v>
      </c>
      <c r="AI114" s="188">
        <f t="shared" si="50"/>
        <v>1.4906771940698305E-2</v>
      </c>
    </row>
    <row r="115" spans="4:35" ht="14">
      <c r="D115" s="164" t="s">
        <v>112</v>
      </c>
      <c r="E115" s="181">
        <v>1</v>
      </c>
      <c r="F115" s="181">
        <v>2</v>
      </c>
      <c r="G115" s="182" t="s">
        <v>8</v>
      </c>
      <c r="H115" s="131">
        <f t="shared" si="44"/>
        <v>1.1666666666666667</v>
      </c>
      <c r="I115" s="131"/>
      <c r="J115" s="131">
        <f t="shared" si="53"/>
        <v>-1</v>
      </c>
      <c r="K115" s="131">
        <v>0.75</v>
      </c>
      <c r="L115" s="131">
        <v>0.75</v>
      </c>
      <c r="M115" s="131">
        <f t="shared" si="45"/>
        <v>0.19600000000000006</v>
      </c>
      <c r="N115" s="131">
        <f t="shared" si="46"/>
        <v>0.26133333333333342</v>
      </c>
      <c r="O115" s="131">
        <v>7.0000000000000007E-2</v>
      </c>
      <c r="P115" s="131">
        <v>0.2</v>
      </c>
      <c r="Q115" s="131">
        <f t="shared" si="47"/>
        <v>0.10208955223880598</v>
      </c>
      <c r="R115" s="188">
        <f t="shared" si="51"/>
        <v>3.6656048891209205</v>
      </c>
      <c r="S115" s="188">
        <f t="shared" si="48"/>
        <v>0.71748049218439425</v>
      </c>
      <c r="T115" s="188">
        <f t="shared" si="49"/>
        <v>0.94444444444444442</v>
      </c>
      <c r="U115" s="188">
        <v>39</v>
      </c>
      <c r="V115" s="188">
        <v>0.29899999999999999</v>
      </c>
      <c r="W115" s="188">
        <f>(U115/100+V115)/2</f>
        <v>0.34450000000000003</v>
      </c>
      <c r="X115" s="188">
        <v>0.60199999999999998</v>
      </c>
      <c r="Y115" s="188">
        <v>0.57999999999999996</v>
      </c>
      <c r="Z115" s="188">
        <f>(Y115+X115+M115)/3</f>
        <v>0.45933333333333337</v>
      </c>
      <c r="AA115" s="188">
        <f>4/124</f>
        <v>3.2258064516129031E-2</v>
      </c>
      <c r="AB115" s="188">
        <f>AA115</f>
        <v>3.2258064516129031E-2</v>
      </c>
      <c r="AC115" s="188">
        <f t="shared" si="52"/>
        <v>2.202607477835306</v>
      </c>
      <c r="AD115" s="188">
        <v>8</v>
      </c>
      <c r="AE115" s="188">
        <v>7.8</v>
      </c>
      <c r="AF115" s="188">
        <v>1.29</v>
      </c>
      <c r="AG115" s="188"/>
      <c r="AH115" s="188">
        <v>8.0399999999999991</v>
      </c>
      <c r="AI115" s="188">
        <f t="shared" si="50"/>
        <v>0.60088513204802385</v>
      </c>
    </row>
    <row r="116" spans="4:35" ht="14">
      <c r="D116" s="164" t="s">
        <v>113</v>
      </c>
      <c r="E116" s="181">
        <v>3</v>
      </c>
      <c r="F116" s="181">
        <v>3</v>
      </c>
      <c r="G116" s="182" t="s">
        <v>3</v>
      </c>
      <c r="H116" s="131">
        <f t="shared" si="44"/>
        <v>1.6666666666666665</v>
      </c>
      <c r="I116" s="131">
        <v>41.4</v>
      </c>
      <c r="J116" s="131">
        <f t="shared" si="53"/>
        <v>2.18228</v>
      </c>
      <c r="K116" s="131">
        <f>(J116+L116)/2</f>
        <v>1.59114</v>
      </c>
      <c r="L116" s="131">
        <v>1</v>
      </c>
      <c r="M116" s="131">
        <f t="shared" si="45"/>
        <v>0.30700000000000005</v>
      </c>
      <c r="N116" s="131">
        <f t="shared" si="46"/>
        <v>0.40933333333333338</v>
      </c>
      <c r="O116" s="131">
        <v>1.43</v>
      </c>
      <c r="P116" s="131">
        <v>0.6</v>
      </c>
      <c r="Q116" s="131">
        <f t="shared" si="47"/>
        <v>0.34268656716417911</v>
      </c>
      <c r="R116" s="188">
        <f t="shared" si="51"/>
        <v>49.663313462940749</v>
      </c>
      <c r="S116" s="188">
        <f t="shared" si="48"/>
        <v>5.295659545476223E-2</v>
      </c>
      <c r="T116" s="188">
        <f t="shared" si="49"/>
        <v>0.77777777777777779</v>
      </c>
      <c r="U116" s="188">
        <v>51.7</v>
      </c>
      <c r="V116" s="188">
        <f>1-0.75</f>
        <v>0.25</v>
      </c>
      <c r="W116" s="188">
        <f>(U116/100+V116)/2</f>
        <v>0.38350000000000001</v>
      </c>
      <c r="X116" s="188">
        <v>0.375</v>
      </c>
      <c r="Y116" s="188">
        <v>0.62</v>
      </c>
      <c r="Z116" s="188">
        <f>(Y116+X116+M116)/3</f>
        <v>0.434</v>
      </c>
      <c r="AA116" s="188">
        <f>-5/109</f>
        <v>-4.5871559633027525E-2</v>
      </c>
      <c r="AB116" s="188">
        <f>AA116</f>
        <v>-4.5871559633027525E-2</v>
      </c>
      <c r="AC116" s="188">
        <f t="shared" si="52"/>
        <v>1.8224020773694789</v>
      </c>
      <c r="AD116" s="188">
        <v>18.2</v>
      </c>
      <c r="AE116" s="188">
        <v>5.0999999999999996</v>
      </c>
      <c r="AF116" s="188">
        <v>113</v>
      </c>
      <c r="AG116" s="188"/>
      <c r="AH116" s="188">
        <v>6.93</v>
      </c>
      <c r="AI116" s="188">
        <f t="shared" si="50"/>
        <v>3.6695136717556573E-2</v>
      </c>
    </row>
    <row r="117" spans="4:35" ht="14">
      <c r="D117" s="164" t="s">
        <v>114</v>
      </c>
      <c r="E117" s="181">
        <v>1</v>
      </c>
      <c r="F117" s="181">
        <v>1</v>
      </c>
      <c r="G117" s="182" t="s">
        <v>8</v>
      </c>
      <c r="H117" s="131">
        <f t="shared" si="44"/>
        <v>1</v>
      </c>
      <c r="I117" s="131"/>
      <c r="J117" s="131">
        <f t="shared" si="53"/>
        <v>-1</v>
      </c>
      <c r="K117" s="131">
        <v>0.75</v>
      </c>
      <c r="L117" s="131">
        <v>0.75</v>
      </c>
      <c r="M117" s="131">
        <f t="shared" si="45"/>
        <v>0.19000000000000006</v>
      </c>
      <c r="N117" s="131">
        <f t="shared" si="46"/>
        <v>0.25333333333333341</v>
      </c>
      <c r="O117" s="131">
        <v>0.03</v>
      </c>
      <c r="P117" s="131">
        <v>0.2</v>
      </c>
      <c r="Q117" s="131">
        <f t="shared" si="47"/>
        <v>0.10089552238805971</v>
      </c>
      <c r="R117" s="188">
        <f t="shared" si="51"/>
        <v>3.0168971086122003</v>
      </c>
      <c r="S117" s="188">
        <f t="shared" si="48"/>
        <v>0.87175661128523652</v>
      </c>
      <c r="T117" s="188">
        <f t="shared" si="49"/>
        <v>1</v>
      </c>
      <c r="U117" s="188"/>
      <c r="V117" s="188">
        <v>0.38600000000000001</v>
      </c>
      <c r="W117" s="188">
        <f>V117</f>
        <v>0.38600000000000001</v>
      </c>
      <c r="X117" s="188"/>
      <c r="Y117" s="188">
        <v>0.97</v>
      </c>
      <c r="Z117" s="188">
        <f>(Y117+N117)/2</f>
        <v>0.61166666666666669</v>
      </c>
      <c r="AA117" s="188" t="s">
        <v>223</v>
      </c>
      <c r="AB117" s="188">
        <v>0.1</v>
      </c>
      <c r="AC117" s="188">
        <f t="shared" si="52"/>
        <v>2.9971644748744368</v>
      </c>
      <c r="AD117" s="188">
        <v>26.7</v>
      </c>
      <c r="AE117" s="188">
        <v>22</v>
      </c>
      <c r="AF117" s="188"/>
      <c r="AG117" s="188"/>
      <c r="AH117" s="188">
        <v>8.1</v>
      </c>
      <c r="AI117" s="188">
        <f t="shared" si="50"/>
        <v>0.99345929508784581</v>
      </c>
    </row>
    <row r="118" spans="4:35" ht="14">
      <c r="D118" s="164" t="s">
        <v>115</v>
      </c>
      <c r="E118" s="181">
        <v>3</v>
      </c>
      <c r="F118" s="181">
        <v>3</v>
      </c>
      <c r="G118" s="182" t="s">
        <v>3</v>
      </c>
      <c r="H118" s="131">
        <f t="shared" si="44"/>
        <v>1.6666666666666665</v>
      </c>
      <c r="I118" s="131">
        <v>29.8</v>
      </c>
      <c r="J118" s="131">
        <f t="shared" si="53"/>
        <v>1.2906266666666668</v>
      </c>
      <c r="K118" s="131">
        <f>(J118+L118)/2</f>
        <v>1.0203133333333334</v>
      </c>
      <c r="L118" s="131">
        <v>0.75</v>
      </c>
      <c r="M118" s="131">
        <f t="shared" si="45"/>
        <v>0.36699999999999999</v>
      </c>
      <c r="N118" s="131">
        <f t="shared" si="46"/>
        <v>0.48933333333333334</v>
      </c>
      <c r="O118" s="131">
        <v>0.08</v>
      </c>
      <c r="P118" s="131">
        <v>0.2</v>
      </c>
      <c r="Q118" s="131">
        <f t="shared" si="47"/>
        <v>0.10238805970149255</v>
      </c>
      <c r="R118" s="188">
        <f t="shared" si="51"/>
        <v>14.683501902386663</v>
      </c>
      <c r="S118" s="188">
        <f t="shared" si="48"/>
        <v>0.17911258618575984</v>
      </c>
      <c r="T118" s="188">
        <f t="shared" si="49"/>
        <v>0.77777777777777779</v>
      </c>
      <c r="U118" s="188">
        <v>38</v>
      </c>
      <c r="V118" s="188">
        <v>0.377</v>
      </c>
      <c r="W118" s="188">
        <f>(U118/100+V118)/2</f>
        <v>0.3785</v>
      </c>
      <c r="X118" s="188">
        <v>0.29299999999999998</v>
      </c>
      <c r="Y118" s="188">
        <v>0.4</v>
      </c>
      <c r="Z118" s="188">
        <f>(Y118+X118+M118)/3</f>
        <v>0.35333333333333333</v>
      </c>
      <c r="AA118" s="188">
        <f>-2/117</f>
        <v>-1.7094017094017096E-2</v>
      </c>
      <c r="AB118" s="188">
        <f>AA118</f>
        <v>-1.7094017094017096E-2</v>
      </c>
      <c r="AC118" s="188">
        <f t="shared" si="52"/>
        <v>1.7435240080582213</v>
      </c>
      <c r="AD118" s="188">
        <v>26.3</v>
      </c>
      <c r="AE118" s="188">
        <v>6.2</v>
      </c>
      <c r="AF118" s="188">
        <v>3.5</v>
      </c>
      <c r="AG118" s="188"/>
      <c r="AH118" s="188">
        <v>6.33</v>
      </c>
      <c r="AI118" s="188">
        <f t="shared" si="50"/>
        <v>0.11874033998489339</v>
      </c>
    </row>
    <row r="119" spans="4:35" ht="14">
      <c r="D119" s="164" t="s">
        <v>116</v>
      </c>
      <c r="E119" s="181">
        <v>2</v>
      </c>
      <c r="F119" s="181">
        <v>1</v>
      </c>
      <c r="G119" s="182" t="s">
        <v>8</v>
      </c>
      <c r="H119" s="131">
        <f t="shared" si="44"/>
        <v>1.1666666666666667</v>
      </c>
      <c r="I119" s="131"/>
      <c r="J119" s="131">
        <f t="shared" si="53"/>
        <v>-1</v>
      </c>
      <c r="K119" s="131">
        <v>0.75</v>
      </c>
      <c r="L119" s="131">
        <v>0.75</v>
      </c>
      <c r="M119" s="131">
        <f t="shared" si="45"/>
        <v>0.39</v>
      </c>
      <c r="N119" s="131">
        <f t="shared" si="46"/>
        <v>0.52</v>
      </c>
      <c r="O119" s="131">
        <v>0</v>
      </c>
      <c r="P119" s="131">
        <v>0.2</v>
      </c>
      <c r="Q119" s="131">
        <f t="shared" si="47"/>
        <v>0.1</v>
      </c>
      <c r="R119" s="188">
        <f t="shared" si="51"/>
        <v>4.9447842457459661</v>
      </c>
      <c r="S119" s="188">
        <f t="shared" si="48"/>
        <v>0.53187355995615138</v>
      </c>
      <c r="T119" s="188">
        <f t="shared" si="49"/>
        <v>0.94444444444444442</v>
      </c>
      <c r="U119" s="188"/>
      <c r="V119" s="189">
        <v>0.18</v>
      </c>
      <c r="W119" s="188">
        <f>V119</f>
        <v>0.18</v>
      </c>
      <c r="X119" s="188"/>
      <c r="Y119" s="188">
        <v>0.75</v>
      </c>
      <c r="Z119" s="188">
        <f>(Y119+N119)/2</f>
        <v>0.63500000000000001</v>
      </c>
      <c r="AA119" s="188" t="s">
        <v>225</v>
      </c>
      <c r="AB119" s="188">
        <v>0.1</v>
      </c>
      <c r="AC119" s="188">
        <f t="shared" si="52"/>
        <v>2.3730277386646654</v>
      </c>
      <c r="AD119" s="188" t="s">
        <v>223</v>
      </c>
      <c r="AE119" s="188">
        <v>0</v>
      </c>
      <c r="AF119" s="188">
        <v>3.5000000000000003E-2</v>
      </c>
      <c r="AG119" s="188"/>
      <c r="AH119" s="188">
        <v>6.1</v>
      </c>
      <c r="AI119" s="188">
        <f t="shared" si="50"/>
        <v>0.47990521339858228</v>
      </c>
    </row>
    <row r="120" spans="4:35" ht="14">
      <c r="D120" s="164" t="s">
        <v>117</v>
      </c>
      <c r="E120" s="181">
        <v>2</v>
      </c>
      <c r="F120" s="181">
        <v>2</v>
      </c>
      <c r="G120" s="182" t="s">
        <v>8</v>
      </c>
      <c r="H120" s="131">
        <f t="shared" si="44"/>
        <v>1.3333333333333333</v>
      </c>
      <c r="I120" s="131">
        <v>28.4</v>
      </c>
      <c r="J120" s="131">
        <f t="shared" si="53"/>
        <v>1.1830133333333333</v>
      </c>
      <c r="K120" s="131">
        <f>(J120+L120)/2</f>
        <v>0.96650666666666663</v>
      </c>
      <c r="L120" s="131">
        <v>0.75</v>
      </c>
      <c r="M120" s="131">
        <f t="shared" si="45"/>
        <v>0.36399999999999999</v>
      </c>
      <c r="N120" s="131">
        <f t="shared" si="46"/>
        <v>0.48533333333333334</v>
      </c>
      <c r="O120" s="131">
        <v>0.05</v>
      </c>
      <c r="P120" s="131">
        <v>0.2</v>
      </c>
      <c r="Q120" s="131">
        <f t="shared" si="47"/>
        <v>0.10149253731343284</v>
      </c>
      <c r="R120" s="188">
        <f t="shared" si="51"/>
        <v>7.9336249501121534</v>
      </c>
      <c r="S120" s="188">
        <f t="shared" si="48"/>
        <v>0.33150041961119187</v>
      </c>
      <c r="T120" s="188">
        <f t="shared" si="49"/>
        <v>0.88888888888888895</v>
      </c>
      <c r="U120" s="188">
        <v>36.5</v>
      </c>
      <c r="V120" s="188">
        <v>0.378</v>
      </c>
      <c r="W120" s="188">
        <f>(U120/100+V120)/2</f>
        <v>0.3715</v>
      </c>
      <c r="X120" s="188"/>
      <c r="Y120" s="188">
        <v>-0.7</v>
      </c>
      <c r="Z120" s="188">
        <f>(Y120+N120)/2</f>
        <v>-0.10733333333333331</v>
      </c>
      <c r="AA120" s="188" t="s">
        <v>225</v>
      </c>
      <c r="AB120" s="188">
        <v>0.1</v>
      </c>
      <c r="AC120" s="188">
        <f t="shared" si="52"/>
        <v>1.3822376945296395</v>
      </c>
      <c r="AD120" s="188">
        <v>39.200000000000003</v>
      </c>
      <c r="AE120" s="188">
        <v>9.9</v>
      </c>
      <c r="AF120" s="188">
        <v>2.7</v>
      </c>
      <c r="AG120" s="188"/>
      <c r="AH120" s="188">
        <v>6.36</v>
      </c>
      <c r="AI120" s="188">
        <f t="shared" si="50"/>
        <v>0.17422523792356728</v>
      </c>
    </row>
    <row r="121" spans="4:35" ht="14">
      <c r="D121" s="164" t="s">
        <v>194</v>
      </c>
      <c r="E121" s="181">
        <v>3</v>
      </c>
      <c r="F121" s="181">
        <v>2</v>
      </c>
      <c r="G121" s="182" t="s">
        <v>8</v>
      </c>
      <c r="H121" s="131">
        <f t="shared" si="44"/>
        <v>1.5</v>
      </c>
      <c r="I121" s="131">
        <v>24.1</v>
      </c>
      <c r="J121" s="131">
        <f t="shared" si="53"/>
        <v>0.85248666666666684</v>
      </c>
      <c r="K121" s="131">
        <f>(J121+L121)/2</f>
        <v>0.80124333333333342</v>
      </c>
      <c r="L121" s="131">
        <v>0.75</v>
      </c>
      <c r="M121" s="131">
        <f t="shared" si="45"/>
        <v>0.373</v>
      </c>
      <c r="N121" s="131">
        <f t="shared" si="46"/>
        <v>0.49733333333333335</v>
      </c>
      <c r="O121" s="131">
        <v>0.04</v>
      </c>
      <c r="P121" s="131">
        <v>0.2</v>
      </c>
      <c r="Q121" s="131">
        <f t="shared" si="47"/>
        <v>0.10119402985074627</v>
      </c>
      <c r="R121" s="188">
        <f t="shared" si="51"/>
        <v>8.1633615987619166</v>
      </c>
      <c r="S121" s="188">
        <f t="shared" si="48"/>
        <v>0.32217119971739028</v>
      </c>
      <c r="T121" s="188">
        <f t="shared" si="49"/>
        <v>0.83333333333333337</v>
      </c>
      <c r="U121" s="188">
        <v>24.3</v>
      </c>
      <c r="V121" s="188">
        <f>1-0.769</f>
        <v>0.23099999999999998</v>
      </c>
      <c r="W121" s="188">
        <f>(U121/100+V121)/2</f>
        <v>0.23699999999999999</v>
      </c>
      <c r="X121" s="188">
        <v>0.45</v>
      </c>
      <c r="Y121" s="188">
        <v>0.82</v>
      </c>
      <c r="Z121" s="188">
        <f>(Y121+X121+M121)/3</f>
        <v>0.54766666666666663</v>
      </c>
      <c r="AA121" s="188" t="s">
        <v>225</v>
      </c>
      <c r="AB121" s="188">
        <v>0.1</v>
      </c>
      <c r="AC121" s="188">
        <f t="shared" si="52"/>
        <v>2.0901215500875145</v>
      </c>
      <c r="AD121" s="188">
        <v>6.6</v>
      </c>
      <c r="AE121" s="188">
        <v>11.5</v>
      </c>
      <c r="AF121" s="188">
        <v>0.62</v>
      </c>
      <c r="AG121" s="188"/>
      <c r="AH121" s="188">
        <v>6.27</v>
      </c>
      <c r="AI121" s="188">
        <f t="shared" si="50"/>
        <v>0.25603686971363726</v>
      </c>
    </row>
    <row r="122" spans="4:35" ht="14">
      <c r="D122" s="164" t="s">
        <v>118</v>
      </c>
      <c r="E122" s="181">
        <v>5</v>
      </c>
      <c r="F122" s="181">
        <v>4</v>
      </c>
      <c r="G122" s="182" t="s">
        <v>3</v>
      </c>
      <c r="H122" s="131">
        <f t="shared" si="44"/>
        <v>2.166666666666667</v>
      </c>
      <c r="I122" s="131">
        <v>33.200000000000003</v>
      </c>
      <c r="J122" s="131">
        <f t="shared" si="53"/>
        <v>1.5519733333333336</v>
      </c>
      <c r="K122" s="131">
        <f>(J122+L122)/2</f>
        <v>1.1509866666666668</v>
      </c>
      <c r="L122" s="131">
        <v>0.75</v>
      </c>
      <c r="M122" s="131">
        <f t="shared" si="45"/>
        <v>0.621</v>
      </c>
      <c r="N122" s="131">
        <f t="shared" si="46"/>
        <v>0.82799999999999996</v>
      </c>
      <c r="O122" s="131">
        <v>0.26</v>
      </c>
      <c r="P122" s="131">
        <v>0.4</v>
      </c>
      <c r="Q122" s="131">
        <f t="shared" si="47"/>
        <v>0.20776119402985077</v>
      </c>
      <c r="R122" s="188">
        <f t="shared" si="51"/>
        <v>114.20027418926209</v>
      </c>
      <c r="S122" s="188">
        <f t="shared" si="48"/>
        <v>2.3029717035892117E-2</v>
      </c>
      <c r="T122" s="188">
        <f t="shared" si="49"/>
        <v>0.61111111111111094</v>
      </c>
      <c r="U122" s="188">
        <v>40.9</v>
      </c>
      <c r="V122" s="188">
        <v>0.433</v>
      </c>
      <c r="W122" s="188">
        <f>(U122/100+V122)/2</f>
        <v>0.42099999999999999</v>
      </c>
      <c r="X122" s="188">
        <v>0.65</v>
      </c>
      <c r="Y122" s="188">
        <v>0.54</v>
      </c>
      <c r="Z122" s="188">
        <f>(Y122+X122+M122)/3</f>
        <v>0.60366666666666668</v>
      </c>
      <c r="AA122" s="188">
        <f>18/127</f>
        <v>0.14173228346456693</v>
      </c>
      <c r="AB122" s="188">
        <f>AA122</f>
        <v>0.14173228346456693</v>
      </c>
      <c r="AC122" s="188">
        <f t="shared" si="52"/>
        <v>2.0396931062236865</v>
      </c>
      <c r="AD122" s="188">
        <v>15</v>
      </c>
      <c r="AE122" s="188">
        <v>9.1999999999999993</v>
      </c>
      <c r="AF122" s="188">
        <v>33</v>
      </c>
      <c r="AG122" s="188"/>
      <c r="AH122" s="188">
        <v>3.79</v>
      </c>
      <c r="AI122" s="188">
        <f t="shared" si="50"/>
        <v>1.7860667329426365E-2</v>
      </c>
    </row>
    <row r="123" spans="4:35" ht="14">
      <c r="D123" s="164" t="s">
        <v>119</v>
      </c>
      <c r="E123" s="181">
        <v>4</v>
      </c>
      <c r="F123" s="181">
        <v>3</v>
      </c>
      <c r="G123" s="182" t="s">
        <v>3</v>
      </c>
      <c r="H123" s="131">
        <f t="shared" si="44"/>
        <v>1.8333333333333335</v>
      </c>
      <c r="I123" s="131">
        <v>36.700000000000003</v>
      </c>
      <c r="J123" s="131">
        <f t="shared" si="53"/>
        <v>1.8210066666666669</v>
      </c>
      <c r="K123" s="131">
        <f>(J123+L123)/2</f>
        <v>1.2855033333333334</v>
      </c>
      <c r="L123" s="131">
        <v>0.75</v>
      </c>
      <c r="M123" s="131">
        <f t="shared" si="45"/>
        <v>0.51</v>
      </c>
      <c r="N123" s="131">
        <f t="shared" si="46"/>
        <v>0.68</v>
      </c>
      <c r="O123" s="131">
        <v>7.0000000000000007E-2</v>
      </c>
      <c r="P123" s="131">
        <v>0.2</v>
      </c>
      <c r="Q123" s="131">
        <f t="shared" si="47"/>
        <v>0.10208955223880598</v>
      </c>
      <c r="R123" s="188">
        <f t="shared" si="51"/>
        <v>44.282384499772718</v>
      </c>
      <c r="S123" s="188">
        <f t="shared" si="48"/>
        <v>5.9391562349437134E-2</v>
      </c>
      <c r="T123" s="188">
        <f t="shared" si="49"/>
        <v>0.7222222222222221</v>
      </c>
      <c r="U123" s="188">
        <v>45.6</v>
      </c>
      <c r="V123" s="188">
        <v>0.71599999999999997</v>
      </c>
      <c r="W123" s="188">
        <f>(U123/100+V123)/2</f>
        <v>0.58599999999999997</v>
      </c>
      <c r="X123" s="188">
        <v>0.43</v>
      </c>
      <c r="Y123" s="188">
        <v>0.28000000000000003</v>
      </c>
      <c r="Z123" s="188">
        <f>(Y123+X123+M123)/3</f>
        <v>0.40666666666666668</v>
      </c>
      <c r="AA123" s="188">
        <f>-1/142</f>
        <v>-7.0422535211267607E-3</v>
      </c>
      <c r="AB123" s="188">
        <f>AA123</f>
        <v>-7.0422535211267607E-3</v>
      </c>
      <c r="AC123" s="188">
        <f t="shared" si="52"/>
        <v>2.0377369501807792</v>
      </c>
      <c r="AD123" s="188">
        <v>54</v>
      </c>
      <c r="AE123" s="188">
        <v>21</v>
      </c>
      <c r="AF123" s="188">
        <v>23</v>
      </c>
      <c r="AG123" s="188"/>
      <c r="AH123" s="188">
        <v>4.9000000000000004</v>
      </c>
      <c r="AI123" s="188">
        <f t="shared" si="50"/>
        <v>4.6016874953769438E-2</v>
      </c>
    </row>
    <row r="124" spans="4:35" ht="14">
      <c r="D124" s="164" t="s">
        <v>120</v>
      </c>
      <c r="E124" s="181">
        <v>2</v>
      </c>
      <c r="F124" s="181">
        <v>2</v>
      </c>
      <c r="G124" s="182" t="s">
        <v>8</v>
      </c>
      <c r="H124" s="131">
        <f t="shared" si="44"/>
        <v>1.3333333333333333</v>
      </c>
      <c r="I124" s="131">
        <v>53</v>
      </c>
      <c r="J124" s="131">
        <f t="shared" si="53"/>
        <v>3.0739333333333336</v>
      </c>
      <c r="K124" s="131">
        <f>(J124+L124)/2</f>
        <v>1.9119666666666668</v>
      </c>
      <c r="L124" s="131">
        <v>0.75</v>
      </c>
      <c r="M124" s="131">
        <f t="shared" si="45"/>
        <v>0.377</v>
      </c>
      <c r="N124" s="131">
        <f t="shared" si="46"/>
        <v>0.50266666666666671</v>
      </c>
      <c r="O124" s="131">
        <v>0.08</v>
      </c>
      <c r="P124" s="131">
        <v>0.2</v>
      </c>
      <c r="Q124" s="131">
        <f t="shared" si="47"/>
        <v>0.10238805970149255</v>
      </c>
      <c r="R124" s="188">
        <f t="shared" si="51"/>
        <v>28.675082040181302</v>
      </c>
      <c r="S124" s="188">
        <f t="shared" si="48"/>
        <v>9.1717261569284475E-2</v>
      </c>
      <c r="T124" s="188">
        <f t="shared" si="49"/>
        <v>0.88888888888888895</v>
      </c>
      <c r="U124" s="188">
        <v>70.7</v>
      </c>
      <c r="V124" s="188">
        <v>0.39400000000000002</v>
      </c>
      <c r="W124" s="188">
        <f>(U124/100+V124)/2</f>
        <v>0.55049999999999999</v>
      </c>
      <c r="X124" s="188">
        <v>0.27400000000000002</v>
      </c>
      <c r="Y124" s="188">
        <v>0.64</v>
      </c>
      <c r="Z124" s="188">
        <f>(Y124+X124+M124)/3</f>
        <v>0.43033333333333329</v>
      </c>
      <c r="AA124" s="188">
        <f>12/122</f>
        <v>9.8360655737704916E-2</v>
      </c>
      <c r="AB124" s="188">
        <f>AA124</f>
        <v>9.8360655737704916E-2</v>
      </c>
      <c r="AC124" s="188">
        <f t="shared" si="52"/>
        <v>2.6098259827629047</v>
      </c>
      <c r="AD124" s="188">
        <v>55.8</v>
      </c>
      <c r="AE124" s="188">
        <v>51.2</v>
      </c>
      <c r="AF124" s="188">
        <v>2.2999999999999998</v>
      </c>
      <c r="AG124" s="188"/>
      <c r="AH124" s="188">
        <v>6.23</v>
      </c>
      <c r="AI124" s="188">
        <f t="shared" si="50"/>
        <v>9.1013723312311876E-2</v>
      </c>
    </row>
    <row r="125" spans="4:35" ht="14">
      <c r="D125" s="164" t="s">
        <v>121</v>
      </c>
      <c r="E125" s="181">
        <v>1</v>
      </c>
      <c r="F125" s="181">
        <v>1</v>
      </c>
      <c r="G125" s="182" t="s">
        <v>8</v>
      </c>
      <c r="H125" s="131">
        <f t="shared" si="44"/>
        <v>1</v>
      </c>
      <c r="I125" s="131"/>
      <c r="J125" s="131">
        <f t="shared" si="53"/>
        <v>-1</v>
      </c>
      <c r="K125" s="131">
        <v>0.75</v>
      </c>
      <c r="L125" s="131">
        <v>0.75</v>
      </c>
      <c r="M125" s="131">
        <f t="shared" si="45"/>
        <v>0.19000000000000006</v>
      </c>
      <c r="N125" s="131">
        <f t="shared" si="46"/>
        <v>0.25333333333333341</v>
      </c>
      <c r="O125" s="131">
        <v>0</v>
      </c>
      <c r="P125" s="131">
        <v>0.2</v>
      </c>
      <c r="Q125" s="131">
        <f t="shared" si="47"/>
        <v>0.1</v>
      </c>
      <c r="R125" s="188">
        <f t="shared" si="51"/>
        <v>3.0141966190638643</v>
      </c>
      <c r="S125" s="188">
        <f t="shared" si="48"/>
        <v>0.87253763850906763</v>
      </c>
      <c r="T125" s="188">
        <f t="shared" si="49"/>
        <v>1</v>
      </c>
      <c r="U125" s="188"/>
      <c r="V125" s="189">
        <v>0.15</v>
      </c>
      <c r="W125" s="188">
        <f>V125</f>
        <v>0.15</v>
      </c>
      <c r="X125" s="188"/>
      <c r="Y125" s="188"/>
      <c r="Z125" s="188">
        <f>(N125+N125)/2</f>
        <v>0.25333333333333341</v>
      </c>
      <c r="AA125" s="188" t="s">
        <v>223</v>
      </c>
      <c r="AB125" s="188">
        <v>0.1</v>
      </c>
      <c r="AC125" s="188">
        <f t="shared" si="52"/>
        <v>1.6542261780175223</v>
      </c>
      <c r="AD125" s="188" t="s">
        <v>223</v>
      </c>
      <c r="AE125" s="188">
        <v>90</v>
      </c>
      <c r="AF125" s="188">
        <v>0.01</v>
      </c>
      <c r="AG125" s="188"/>
      <c r="AH125" s="188">
        <v>8.1</v>
      </c>
      <c r="AI125" s="188">
        <f t="shared" si="50"/>
        <v>0.54881163609402639</v>
      </c>
    </row>
    <row r="126" spans="4:35" ht="14">
      <c r="D126" s="164" t="s">
        <v>122</v>
      </c>
      <c r="E126" s="181">
        <v>4</v>
      </c>
      <c r="F126" s="181">
        <v>4</v>
      </c>
      <c r="G126" s="182" t="s">
        <v>3</v>
      </c>
      <c r="H126" s="131">
        <f t="shared" si="44"/>
        <v>2</v>
      </c>
      <c r="I126" s="131">
        <v>29.5</v>
      </c>
      <c r="J126" s="131">
        <f t="shared" si="53"/>
        <v>1.2675666666666667</v>
      </c>
      <c r="K126" s="131">
        <f>(J126+L126)/2</f>
        <v>1.0087833333333334</v>
      </c>
      <c r="L126" s="131">
        <v>0.75</v>
      </c>
      <c r="M126" s="131">
        <f t="shared" si="45"/>
        <v>0.57599999999999996</v>
      </c>
      <c r="N126" s="131">
        <f t="shared" si="46"/>
        <v>0.7679999999999999</v>
      </c>
      <c r="O126" s="131">
        <v>0.06</v>
      </c>
      <c r="P126" s="131">
        <v>0.2</v>
      </c>
      <c r="Q126" s="131">
        <f t="shared" si="47"/>
        <v>0.1017910447761194</v>
      </c>
      <c r="R126" s="188">
        <f t="shared" si="51"/>
        <v>42.826143957052146</v>
      </c>
      <c r="S126" s="188">
        <f t="shared" si="48"/>
        <v>6.141108577595672E-2</v>
      </c>
      <c r="T126" s="188">
        <f t="shared" si="49"/>
        <v>0.66666666666666674</v>
      </c>
      <c r="U126" s="188">
        <v>47.2</v>
      </c>
      <c r="V126" s="188">
        <v>0.57199999999999995</v>
      </c>
      <c r="W126" s="188">
        <f t="shared" ref="W126:W131" si="56">(U126/100+V126)/2</f>
        <v>0.52200000000000002</v>
      </c>
      <c r="X126" s="188"/>
      <c r="Y126" s="188">
        <v>0.65</v>
      </c>
      <c r="Z126" s="188">
        <f>(Y126+N126)/2</f>
        <v>0.70899999999999996</v>
      </c>
      <c r="AA126" s="188" t="s">
        <v>225</v>
      </c>
      <c r="AB126" s="188">
        <v>0.1</v>
      </c>
      <c r="AC126" s="188">
        <f t="shared" si="52"/>
        <v>2.4286446227674445</v>
      </c>
      <c r="AD126" s="188">
        <v>30.9</v>
      </c>
      <c r="AE126" s="188">
        <v>46</v>
      </c>
      <c r="AF126" s="188">
        <v>27</v>
      </c>
      <c r="AG126" s="188"/>
      <c r="AH126" s="188">
        <v>4.24</v>
      </c>
      <c r="AI126" s="188">
        <f t="shared" si="50"/>
        <v>5.6709392869995282E-2</v>
      </c>
    </row>
    <row r="127" spans="4:35" ht="14">
      <c r="D127" s="164" t="s">
        <v>123</v>
      </c>
      <c r="E127" s="181">
        <v>1</v>
      </c>
      <c r="F127" s="181">
        <v>1</v>
      </c>
      <c r="G127" s="182" t="s">
        <v>8</v>
      </c>
      <c r="H127" s="131">
        <f t="shared" si="44"/>
        <v>1</v>
      </c>
      <c r="I127" s="131">
        <v>22.9</v>
      </c>
      <c r="J127" s="131">
        <f t="shared" si="53"/>
        <v>0.76024666666666674</v>
      </c>
      <c r="K127" s="131">
        <f>(J127+L127)/2</f>
        <v>0.81512333333333342</v>
      </c>
      <c r="L127" s="131">
        <v>0.87</v>
      </c>
      <c r="M127" s="131">
        <f t="shared" si="45"/>
        <v>0.10099999999999998</v>
      </c>
      <c r="N127" s="131">
        <f t="shared" si="46"/>
        <v>0.13466666666666663</v>
      </c>
      <c r="O127" s="131">
        <v>2.08</v>
      </c>
      <c r="P127" s="131">
        <v>0.4</v>
      </c>
      <c r="Q127" s="131">
        <f t="shared" si="47"/>
        <v>0.26208955223880598</v>
      </c>
      <c r="R127" s="188">
        <f t="shared" si="51"/>
        <v>3.3597936293038968</v>
      </c>
      <c r="S127" s="188">
        <f t="shared" si="48"/>
        <v>0.78278617384749904</v>
      </c>
      <c r="T127" s="188">
        <f t="shared" si="49"/>
        <v>1</v>
      </c>
      <c r="U127" s="188">
        <v>30.9</v>
      </c>
      <c r="V127" s="188">
        <f>1-0.89</f>
        <v>0.10999999999999999</v>
      </c>
      <c r="W127" s="188">
        <f t="shared" si="56"/>
        <v>0.20949999999999999</v>
      </c>
      <c r="X127" s="188">
        <v>0.64400000000000002</v>
      </c>
      <c r="Y127" s="188">
        <v>0.84</v>
      </c>
      <c r="Z127" s="188">
        <f>(Y127+X127+M127)/3</f>
        <v>0.52833333333333332</v>
      </c>
      <c r="AA127" s="188">
        <f>1/107</f>
        <v>9.3457943925233638E-3</v>
      </c>
      <c r="AB127" s="188">
        <f>AA127</f>
        <v>9.3457943925233638E-3</v>
      </c>
      <c r="AC127" s="188">
        <f t="shared" si="52"/>
        <v>2.1110366448708255</v>
      </c>
      <c r="AD127" s="188">
        <v>10.5</v>
      </c>
      <c r="AE127" s="188">
        <v>5.2</v>
      </c>
      <c r="AF127" s="188">
        <v>17</v>
      </c>
      <c r="AG127" s="188"/>
      <c r="AH127" s="188">
        <v>8.99</v>
      </c>
      <c r="AI127" s="188">
        <f t="shared" si="50"/>
        <v>0.62832330725866736</v>
      </c>
    </row>
    <row r="128" spans="4:35" ht="14">
      <c r="D128" s="164" t="s">
        <v>124</v>
      </c>
      <c r="E128" s="181">
        <v>1</v>
      </c>
      <c r="F128" s="181">
        <v>1</v>
      </c>
      <c r="G128" s="182" t="s">
        <v>8</v>
      </c>
      <c r="H128" s="131">
        <f t="shared" si="44"/>
        <v>1</v>
      </c>
      <c r="I128" s="131"/>
      <c r="J128" s="131">
        <f t="shared" si="53"/>
        <v>-1</v>
      </c>
      <c r="K128" s="131">
        <v>0.75</v>
      </c>
      <c r="L128" s="131">
        <v>0.75</v>
      </c>
      <c r="M128" s="131">
        <f t="shared" si="45"/>
        <v>7.4000000000000066E-2</v>
      </c>
      <c r="N128" s="131">
        <f t="shared" si="46"/>
        <v>9.866666666666675E-2</v>
      </c>
      <c r="O128" s="131">
        <v>0.38</v>
      </c>
      <c r="P128" s="131">
        <v>0.2</v>
      </c>
      <c r="Q128" s="131">
        <f t="shared" si="47"/>
        <v>0.11134328358208956</v>
      </c>
      <c r="R128" s="188">
        <f t="shared" si="51"/>
        <v>2.6117224605819933</v>
      </c>
      <c r="S128" s="188">
        <f t="shared" si="48"/>
        <v>1.0069982701814089</v>
      </c>
      <c r="T128" s="188">
        <f t="shared" si="49"/>
        <v>1</v>
      </c>
      <c r="U128" s="188">
        <v>36.200000000000003</v>
      </c>
      <c r="V128" s="188">
        <f>1-0.907</f>
        <v>9.2999999999999972E-2</v>
      </c>
      <c r="W128" s="188">
        <f t="shared" si="56"/>
        <v>0.22750000000000001</v>
      </c>
      <c r="X128" s="188">
        <v>0.33700000000000002</v>
      </c>
      <c r="Y128" s="188">
        <v>0.8</v>
      </c>
      <c r="Z128" s="188">
        <f>(Y128+X128+M128)/3</f>
        <v>0.40366666666666667</v>
      </c>
      <c r="AA128" s="188">
        <f>-5/107</f>
        <v>-4.6728971962616821E-2</v>
      </c>
      <c r="AB128" s="188">
        <f>AA128</f>
        <v>-4.6728971962616821E-2</v>
      </c>
      <c r="AC128" s="188">
        <f t="shared" si="52"/>
        <v>1.7939819364259377</v>
      </c>
      <c r="AD128" s="188" t="s">
        <v>223</v>
      </c>
      <c r="AE128" s="188">
        <v>6.5</v>
      </c>
      <c r="AF128" s="188">
        <v>4.4000000000000004</v>
      </c>
      <c r="AG128" s="188"/>
      <c r="AH128" s="188">
        <v>9.26</v>
      </c>
      <c r="AI128" s="188">
        <f t="shared" si="50"/>
        <v>0.68689608620441578</v>
      </c>
    </row>
    <row r="129" spans="4:35" ht="14">
      <c r="D129" s="164" t="s">
        <v>125</v>
      </c>
      <c r="E129" s="181">
        <v>4</v>
      </c>
      <c r="F129" s="181">
        <v>4</v>
      </c>
      <c r="G129" s="182" t="s">
        <v>3</v>
      </c>
      <c r="H129" s="131">
        <f t="shared" si="44"/>
        <v>2</v>
      </c>
      <c r="I129" s="131">
        <v>41.8</v>
      </c>
      <c r="J129" s="131">
        <f t="shared" si="53"/>
        <v>2.2130266666666665</v>
      </c>
      <c r="K129" s="131">
        <f>(J129+L129)/2</f>
        <v>1.4815133333333332</v>
      </c>
      <c r="L129" s="131">
        <v>0.75</v>
      </c>
      <c r="M129" s="131">
        <f t="shared" si="45"/>
        <v>0.42699999999999994</v>
      </c>
      <c r="N129" s="131">
        <f t="shared" si="46"/>
        <v>0.56933333333333325</v>
      </c>
      <c r="O129" s="131">
        <v>0.08</v>
      </c>
      <c r="P129" s="131">
        <v>0.4</v>
      </c>
      <c r="Q129" s="131">
        <f t="shared" si="47"/>
        <v>0.20238805970149254</v>
      </c>
      <c r="R129" s="188">
        <f t="shared" si="51"/>
        <v>90.601380726197974</v>
      </c>
      <c r="S129" s="188">
        <f t="shared" si="48"/>
        <v>2.9028255186838652E-2</v>
      </c>
      <c r="T129" s="188">
        <f t="shared" si="49"/>
        <v>0.66666666666666674</v>
      </c>
      <c r="U129" s="188">
        <v>40.5</v>
      </c>
      <c r="V129" s="188">
        <v>0.435</v>
      </c>
      <c r="W129" s="188">
        <f t="shared" si="56"/>
        <v>0.42000000000000004</v>
      </c>
      <c r="X129" s="188">
        <v>0.70499999999999996</v>
      </c>
      <c r="Y129" s="188">
        <v>0.6</v>
      </c>
      <c r="Z129" s="188">
        <f>(Y129+X129+M129)/3</f>
        <v>0.57733333333333325</v>
      </c>
      <c r="AA129" s="188">
        <f>-57/114</f>
        <v>-0.5</v>
      </c>
      <c r="AB129" s="188">
        <f>AA129</f>
        <v>-0.5</v>
      </c>
      <c r="AC129" s="188">
        <f t="shared" si="52"/>
        <v>1.3931335404362779</v>
      </c>
      <c r="AD129" s="188">
        <v>46.2</v>
      </c>
      <c r="AE129" s="188">
        <v>7.3</v>
      </c>
      <c r="AF129" s="188">
        <v>5.8</v>
      </c>
      <c r="AG129" s="188"/>
      <c r="AH129" s="188">
        <v>5.73</v>
      </c>
      <c r="AI129" s="188">
        <f t="shared" si="50"/>
        <v>1.5376515559364366E-2</v>
      </c>
    </row>
    <row r="130" spans="4:35" ht="14">
      <c r="D130" s="164" t="s">
        <v>126</v>
      </c>
      <c r="E130" s="181">
        <v>5</v>
      </c>
      <c r="F130" s="181">
        <v>4</v>
      </c>
      <c r="G130" s="182" t="s">
        <v>3</v>
      </c>
      <c r="H130" s="131">
        <f t="shared" si="44"/>
        <v>2.166666666666667</v>
      </c>
      <c r="I130" s="131">
        <v>28.5</v>
      </c>
      <c r="J130" s="131">
        <f t="shared" si="53"/>
        <v>1.1907000000000001</v>
      </c>
      <c r="K130" s="131">
        <f>(J130+L130)/2</f>
        <v>0.97035000000000005</v>
      </c>
      <c r="L130" s="131">
        <v>0.75</v>
      </c>
      <c r="M130" s="131">
        <f t="shared" si="45"/>
        <v>0.66200000000000003</v>
      </c>
      <c r="N130" s="131">
        <f t="shared" si="46"/>
        <v>0.88266666666666671</v>
      </c>
      <c r="O130" s="131">
        <v>0.06</v>
      </c>
      <c r="P130" s="131">
        <v>0.2</v>
      </c>
      <c r="Q130" s="131">
        <f t="shared" si="47"/>
        <v>0.1017910447761194</v>
      </c>
      <c r="R130" s="188">
        <f t="shared" si="51"/>
        <v>69.090463293207662</v>
      </c>
      <c r="S130" s="188">
        <f t="shared" si="48"/>
        <v>3.8066035088500517E-2</v>
      </c>
      <c r="T130" s="188">
        <f t="shared" si="49"/>
        <v>0.61111111111111094</v>
      </c>
      <c r="U130" s="188">
        <v>34</v>
      </c>
      <c r="V130" s="188">
        <v>0.75900000000000001</v>
      </c>
      <c r="W130" s="188">
        <f t="shared" si="56"/>
        <v>0.54949999999999999</v>
      </c>
      <c r="X130" s="188"/>
      <c r="Y130" s="188">
        <v>0.45</v>
      </c>
      <c r="Z130" s="188">
        <f>(Y130+N130)/2</f>
        <v>0.66633333333333333</v>
      </c>
      <c r="AA130" s="188" t="s">
        <v>225</v>
      </c>
      <c r="AB130" s="188">
        <v>0.1</v>
      </c>
      <c r="AC130" s="188">
        <f t="shared" si="52"/>
        <v>2.2347298993735114</v>
      </c>
      <c r="AD130" s="188">
        <v>63</v>
      </c>
      <c r="AE130" s="188"/>
      <c r="AF130" s="188">
        <v>16.274000000000001</v>
      </c>
      <c r="AG130" s="188"/>
      <c r="AH130" s="188">
        <v>3.38</v>
      </c>
      <c r="AI130" s="188">
        <f t="shared" si="50"/>
        <v>3.2344983560027879E-2</v>
      </c>
    </row>
    <row r="131" spans="4:35" ht="14">
      <c r="D131" s="164" t="s">
        <v>127</v>
      </c>
      <c r="E131" s="181">
        <v>4</v>
      </c>
      <c r="F131" s="181">
        <v>4</v>
      </c>
      <c r="G131" s="182" t="s">
        <v>3</v>
      </c>
      <c r="H131" s="131">
        <f t="shared" si="44"/>
        <v>2</v>
      </c>
      <c r="I131" s="131">
        <v>32.4</v>
      </c>
      <c r="J131" s="131">
        <f t="shared" si="53"/>
        <v>1.4904799999999998</v>
      </c>
      <c r="K131" s="131">
        <f>(J131+L131)/2</f>
        <v>1.1202399999999999</v>
      </c>
      <c r="L131" s="131">
        <v>0.75</v>
      </c>
      <c r="M131" s="131">
        <f t="shared" si="45"/>
        <v>0.65300000000000002</v>
      </c>
      <c r="N131" s="131">
        <f t="shared" si="46"/>
        <v>0.8706666666666667</v>
      </c>
      <c r="O131" s="131">
        <v>0.73</v>
      </c>
      <c r="P131" s="131">
        <v>0.6</v>
      </c>
      <c r="Q131" s="131">
        <f t="shared" si="47"/>
        <v>0.32179104477611942</v>
      </c>
      <c r="R131" s="188">
        <f t="shared" si="51"/>
        <v>102.04311528915858</v>
      </c>
      <c r="S131" s="188">
        <f t="shared" si="48"/>
        <v>2.577341932914724E-2</v>
      </c>
      <c r="T131" s="188">
        <f t="shared" si="49"/>
        <v>0.66666666666666674</v>
      </c>
      <c r="U131" s="188">
        <v>43.7</v>
      </c>
      <c r="V131" s="188">
        <f>1-0.423</f>
        <v>0.57699999999999996</v>
      </c>
      <c r="W131" s="188">
        <f t="shared" si="56"/>
        <v>0.50700000000000001</v>
      </c>
      <c r="X131" s="188">
        <v>0.17599999999999999</v>
      </c>
      <c r="Y131" s="188">
        <f>1-0.69</f>
        <v>0.31000000000000005</v>
      </c>
      <c r="Z131" s="188">
        <f>(Y131+X131+M131)/3</f>
        <v>0.37966666666666665</v>
      </c>
      <c r="AA131" s="188">
        <v>3.3000000000000002E-2</v>
      </c>
      <c r="AB131" s="188">
        <f>AA131</f>
        <v>3.3000000000000002E-2</v>
      </c>
      <c r="AC131" s="188">
        <f t="shared" si="52"/>
        <v>1.8461661013785884</v>
      </c>
      <c r="AD131" s="188">
        <v>70</v>
      </c>
      <c r="AE131" s="188">
        <v>21</v>
      </c>
      <c r="AF131" s="188">
        <v>123</v>
      </c>
      <c r="AG131" s="188"/>
      <c r="AH131" s="188">
        <v>3.47</v>
      </c>
      <c r="AI131" s="188">
        <f t="shared" si="50"/>
        <v>1.8092020183303161E-2</v>
      </c>
    </row>
    <row r="132" spans="4:35" ht="14">
      <c r="D132" s="164" t="s">
        <v>128</v>
      </c>
      <c r="E132" s="181">
        <v>7</v>
      </c>
      <c r="F132" s="181">
        <v>7</v>
      </c>
      <c r="G132" s="182" t="s">
        <v>4</v>
      </c>
      <c r="H132" s="131">
        <f t="shared" ref="H132:H163" si="57">1+(-2+E132+F132)/6</f>
        <v>3</v>
      </c>
      <c r="I132" s="131"/>
      <c r="J132" s="131">
        <f t="shared" si="53"/>
        <v>-1</v>
      </c>
      <c r="K132" s="131">
        <v>1</v>
      </c>
      <c r="L132" s="131">
        <v>1</v>
      </c>
      <c r="M132" s="131">
        <f t="shared" ref="M132:M163" si="58">1-AH132/10</f>
        <v>0.89200000000000002</v>
      </c>
      <c r="N132" s="131">
        <f t="shared" ref="N132:N163" si="59">4*M132/3</f>
        <v>1.1893333333333334</v>
      </c>
      <c r="O132" s="131">
        <v>0</v>
      </c>
      <c r="P132" s="131">
        <v>0.2</v>
      </c>
      <c r="Q132" s="131">
        <f t="shared" ref="Q132:Q163" si="60">(O132/16.75+P132)/2</f>
        <v>0.1</v>
      </c>
      <c r="R132" s="188">
        <f t="shared" si="51"/>
        <v>961.02459329423175</v>
      </c>
      <c r="S132" s="188">
        <f t="shared" ref="S132:S163" si="61">2.63/R132</f>
        <v>2.7366625353309631E-3</v>
      </c>
      <c r="T132" s="188">
        <f t="shared" ref="T132:T163" si="62">1-(H132-1)/3</f>
        <v>0.33333333333333337</v>
      </c>
      <c r="U132" s="188" t="s">
        <v>223</v>
      </c>
      <c r="V132" s="189">
        <v>0.9</v>
      </c>
      <c r="W132" s="188">
        <f>V132</f>
        <v>0.9</v>
      </c>
      <c r="X132" s="188" t="s">
        <v>223</v>
      </c>
      <c r="Y132" s="188">
        <v>0.6</v>
      </c>
      <c r="Z132" s="188">
        <f>(Y132+N132)/2</f>
        <v>0.89466666666666672</v>
      </c>
      <c r="AA132" s="188" t="s">
        <v>223</v>
      </c>
      <c r="AB132" s="188">
        <v>1</v>
      </c>
      <c r="AC132" s="188">
        <f t="shared" si="52"/>
        <v>2.5384548154835338</v>
      </c>
      <c r="AD132" s="188"/>
      <c r="AE132" s="188"/>
      <c r="AF132" s="188">
        <v>24</v>
      </c>
      <c r="AG132" s="188"/>
      <c r="AH132" s="188">
        <v>1.08</v>
      </c>
      <c r="AI132" s="188">
        <f t="shared" ref="AI132:AI163" si="63">AC132/R132</f>
        <v>2.6414046354236729E-3</v>
      </c>
    </row>
    <row r="133" spans="4:35" ht="14">
      <c r="D133" s="164" t="s">
        <v>129</v>
      </c>
      <c r="E133" s="181">
        <v>1</v>
      </c>
      <c r="F133" s="181">
        <v>1</v>
      </c>
      <c r="G133" s="182" t="s">
        <v>8</v>
      </c>
      <c r="H133" s="131">
        <f t="shared" si="57"/>
        <v>1</v>
      </c>
      <c r="I133" s="131">
        <v>21</v>
      </c>
      <c r="J133" s="131">
        <f t="shared" si="53"/>
        <v>0.61420000000000008</v>
      </c>
      <c r="K133" s="131">
        <f>(J133+L133)/2</f>
        <v>0.68210000000000004</v>
      </c>
      <c r="L133" s="131">
        <v>0.75</v>
      </c>
      <c r="M133" s="131">
        <f t="shared" si="58"/>
        <v>1.9999999999999907E-2</v>
      </c>
      <c r="N133" s="131">
        <f t="shared" si="59"/>
        <v>2.6666666666666543E-2</v>
      </c>
      <c r="O133" s="131">
        <v>0.78</v>
      </c>
      <c r="P133" s="131">
        <v>0.4</v>
      </c>
      <c r="Q133" s="131">
        <f t="shared" si="60"/>
        <v>0.22328358208955226</v>
      </c>
      <c r="R133" s="188">
        <f t="shared" ref="R133:R164" si="64">EXP(H133*(K133+N133+Q133))</f>
        <v>2.5397108824792296</v>
      </c>
      <c r="S133" s="188">
        <f t="shared" si="61"/>
        <v>1.0355509432761225</v>
      </c>
      <c r="T133" s="188">
        <f t="shared" si="62"/>
        <v>1</v>
      </c>
      <c r="U133" s="188">
        <v>25</v>
      </c>
      <c r="V133" s="188">
        <f>1-0.938</f>
        <v>6.2000000000000055E-2</v>
      </c>
      <c r="W133" s="188">
        <f>(U133/100+V133)/2</f>
        <v>0.15600000000000003</v>
      </c>
      <c r="X133" s="188">
        <v>0.48399999999999999</v>
      </c>
      <c r="Y133" s="188">
        <v>0.83</v>
      </c>
      <c r="Z133" s="188">
        <f>(Y133+X133+M133)/3</f>
        <v>0.44466666666666671</v>
      </c>
      <c r="AA133" s="188">
        <f>10/105</f>
        <v>9.5238095238095233E-2</v>
      </c>
      <c r="AB133" s="188">
        <f>AA133</f>
        <v>9.5238095238095233E-2</v>
      </c>
      <c r="AC133" s="188">
        <f t="shared" ref="AC133:AC164" si="65">EXP(T133*(AB133+Z133+W133))</f>
        <v>2.0055227739391115</v>
      </c>
      <c r="AD133" s="188" t="s">
        <v>223</v>
      </c>
      <c r="AE133" s="188">
        <v>3.4</v>
      </c>
      <c r="AF133" s="188">
        <v>5</v>
      </c>
      <c r="AG133" s="188"/>
      <c r="AH133" s="190">
        <v>9.8000000000000007</v>
      </c>
      <c r="AI133" s="188">
        <f t="shared" si="63"/>
        <v>0.78966577958722162</v>
      </c>
    </row>
    <row r="134" spans="4:35" ht="14">
      <c r="D134" s="164" t="s">
        <v>130</v>
      </c>
      <c r="E134" s="181">
        <v>6</v>
      </c>
      <c r="F134" s="181">
        <v>5</v>
      </c>
      <c r="G134" s="182" t="s">
        <v>4</v>
      </c>
      <c r="H134" s="131">
        <f t="shared" si="57"/>
        <v>2.5</v>
      </c>
      <c r="I134" s="131"/>
      <c r="J134" s="131">
        <f t="shared" si="53"/>
        <v>-1</v>
      </c>
      <c r="K134" s="131">
        <v>0.75</v>
      </c>
      <c r="L134" s="131">
        <v>0.75</v>
      </c>
      <c r="M134" s="131">
        <f t="shared" si="58"/>
        <v>0.71399999999999997</v>
      </c>
      <c r="N134" s="131">
        <f t="shared" si="59"/>
        <v>0.95199999999999996</v>
      </c>
      <c r="O134" s="131">
        <v>0.12</v>
      </c>
      <c r="P134" s="131">
        <v>0.2</v>
      </c>
      <c r="Q134" s="131">
        <f t="shared" si="60"/>
        <v>0.10358208955223881</v>
      </c>
      <c r="R134" s="188">
        <f t="shared" si="64"/>
        <v>91.282146778112391</v>
      </c>
      <c r="S134" s="188">
        <f t="shared" si="61"/>
        <v>2.8811767610954355E-2</v>
      </c>
      <c r="T134" s="188">
        <f t="shared" si="62"/>
        <v>0.5</v>
      </c>
      <c r="U134" s="188"/>
      <c r="V134" s="189">
        <v>0.79</v>
      </c>
      <c r="W134" s="188">
        <f>V134</f>
        <v>0.79</v>
      </c>
      <c r="X134" s="188">
        <v>3.7999999999999999E-2</v>
      </c>
      <c r="Y134" s="188">
        <v>0.56000000000000005</v>
      </c>
      <c r="Z134" s="188">
        <f>(Y134+X134+M134)/3</f>
        <v>0.43733333333333335</v>
      </c>
      <c r="AA134" s="188" t="s">
        <v>225</v>
      </c>
      <c r="AB134" s="188">
        <v>0.1</v>
      </c>
      <c r="AC134" s="188">
        <f t="shared" si="65"/>
        <v>1.941899594976463</v>
      </c>
      <c r="AD134" s="188" t="s">
        <v>223</v>
      </c>
      <c r="AE134" s="188">
        <v>15</v>
      </c>
      <c r="AF134" s="188">
        <v>2.7</v>
      </c>
      <c r="AG134" s="188"/>
      <c r="AH134" s="188">
        <v>2.86</v>
      </c>
      <c r="AI134" s="188">
        <f t="shared" si="63"/>
        <v>2.1273596902763588E-2</v>
      </c>
    </row>
    <row r="135" spans="4:35" ht="14">
      <c r="D135" s="164" t="s">
        <v>131</v>
      </c>
      <c r="E135" s="181">
        <v>4</v>
      </c>
      <c r="F135" s="181">
        <v>5</v>
      </c>
      <c r="G135" s="182" t="s">
        <v>3</v>
      </c>
      <c r="H135" s="131">
        <f t="shared" si="57"/>
        <v>2.166666666666667</v>
      </c>
      <c r="I135" s="131">
        <v>39.299999999999997</v>
      </c>
      <c r="J135" s="131">
        <f t="shared" ref="J135:J166" si="66">1.153*I135/15-1</f>
        <v>2.0208599999999999</v>
      </c>
      <c r="K135" s="131">
        <f>(J135+L135)/2</f>
        <v>1.3854299999999999</v>
      </c>
      <c r="L135" s="131">
        <v>0.75</v>
      </c>
      <c r="M135" s="131">
        <f t="shared" si="58"/>
        <v>0.54500000000000004</v>
      </c>
      <c r="N135" s="131">
        <f t="shared" si="59"/>
        <v>0.72666666666666668</v>
      </c>
      <c r="O135" s="131">
        <v>0.44</v>
      </c>
      <c r="P135" s="131">
        <v>0.6</v>
      </c>
      <c r="Q135" s="131">
        <f t="shared" si="60"/>
        <v>0.31313432835820892</v>
      </c>
      <c r="R135" s="188">
        <f t="shared" si="64"/>
        <v>191.45774966303807</v>
      </c>
      <c r="S135" s="188">
        <f t="shared" si="61"/>
        <v>1.3736712170851005E-2</v>
      </c>
      <c r="T135" s="188">
        <f t="shared" si="62"/>
        <v>0.61111111111111094</v>
      </c>
      <c r="U135" s="188">
        <v>30.6</v>
      </c>
      <c r="V135" s="188">
        <f>1-0.49</f>
        <v>0.51</v>
      </c>
      <c r="W135" s="188">
        <f>(U135/100+V135)/2</f>
        <v>0.40800000000000003</v>
      </c>
      <c r="X135" s="188">
        <v>0.60099999999999998</v>
      </c>
      <c r="Y135" s="188">
        <f>1-0.24</f>
        <v>0.76</v>
      </c>
      <c r="Z135" s="188">
        <f>(Y135+X135+M135)/3</f>
        <v>0.63533333333333342</v>
      </c>
      <c r="AA135" s="188">
        <f>-5/123</f>
        <v>-4.065040650406504E-2</v>
      </c>
      <c r="AB135" s="188">
        <f>AA135</f>
        <v>-4.065040650406504E-2</v>
      </c>
      <c r="AC135" s="188">
        <f t="shared" si="65"/>
        <v>1.8455008009819778</v>
      </c>
      <c r="AD135" s="188">
        <v>22.3</v>
      </c>
      <c r="AE135" s="188">
        <v>5.6</v>
      </c>
      <c r="AF135" s="188">
        <v>178</v>
      </c>
      <c r="AG135" s="188"/>
      <c r="AH135" s="188">
        <v>4.55</v>
      </c>
      <c r="AI135" s="188">
        <f t="shared" si="63"/>
        <v>9.6392065833324769E-3</v>
      </c>
    </row>
    <row r="136" spans="4:35" ht="14">
      <c r="D136" s="164" t="s">
        <v>132</v>
      </c>
      <c r="E136" s="181">
        <v>1</v>
      </c>
      <c r="F136" s="181">
        <v>1</v>
      </c>
      <c r="G136" s="182" t="s">
        <v>8</v>
      </c>
      <c r="H136" s="131">
        <f t="shared" si="57"/>
        <v>1</v>
      </c>
      <c r="I136" s="131"/>
      <c r="J136" s="131">
        <f t="shared" si="66"/>
        <v>-1</v>
      </c>
      <c r="K136" s="131">
        <v>0.75</v>
      </c>
      <c r="L136" s="131">
        <v>0.75</v>
      </c>
      <c r="M136" s="131">
        <f t="shared" si="58"/>
        <v>0.19000000000000006</v>
      </c>
      <c r="N136" s="131">
        <f t="shared" si="59"/>
        <v>0.25333333333333341</v>
      </c>
      <c r="O136" s="131">
        <v>0.03</v>
      </c>
      <c r="P136" s="131">
        <v>0.2</v>
      </c>
      <c r="Q136" s="131">
        <f t="shared" si="60"/>
        <v>0.10089552238805971</v>
      </c>
      <c r="R136" s="188">
        <f t="shared" si="64"/>
        <v>3.0168971086122003</v>
      </c>
      <c r="S136" s="188">
        <f t="shared" si="61"/>
        <v>0.87175661128523652</v>
      </c>
      <c r="T136" s="188">
        <f t="shared" si="62"/>
        <v>1</v>
      </c>
      <c r="U136" s="188"/>
      <c r="V136" s="189">
        <v>0.15</v>
      </c>
      <c r="W136" s="188">
        <f>V136</f>
        <v>0.15</v>
      </c>
      <c r="X136" s="188"/>
      <c r="Y136" s="188">
        <v>0.45</v>
      </c>
      <c r="Z136" s="188">
        <f>(Y136+N136)/2</f>
        <v>0.35166666666666668</v>
      </c>
      <c r="AA136" s="188" t="s">
        <v>223</v>
      </c>
      <c r="AB136" s="188">
        <v>0.1</v>
      </c>
      <c r="AC136" s="188">
        <f t="shared" si="65"/>
        <v>1.8251581971849244</v>
      </c>
      <c r="AD136" s="188" t="s">
        <v>223</v>
      </c>
      <c r="AE136" s="188">
        <v>4.2</v>
      </c>
      <c r="AF136" s="188">
        <v>2.1000000000000001E-2</v>
      </c>
      <c r="AG136" s="188"/>
      <c r="AH136" s="188">
        <v>8.1</v>
      </c>
      <c r="AI136" s="188">
        <f t="shared" si="63"/>
        <v>0.60497860267581804</v>
      </c>
    </row>
    <row r="137" spans="4:35" ht="14">
      <c r="D137" s="164" t="s">
        <v>133</v>
      </c>
      <c r="E137" s="181">
        <v>1</v>
      </c>
      <c r="F137" s="181">
        <v>2</v>
      </c>
      <c r="G137" s="182" t="s">
        <v>8</v>
      </c>
      <c r="H137" s="131">
        <f t="shared" si="57"/>
        <v>1.1666666666666667</v>
      </c>
      <c r="I137" s="131">
        <v>40.6</v>
      </c>
      <c r="J137" s="131">
        <f t="shared" si="66"/>
        <v>2.120786666666667</v>
      </c>
      <c r="K137" s="131">
        <f t="shared" ref="K137:K147" si="67">(J137+L137)/2</f>
        <v>1.4353933333333335</v>
      </c>
      <c r="L137" s="131">
        <v>0.75</v>
      </c>
      <c r="M137" s="131">
        <f t="shared" si="58"/>
        <v>0.28499999999999992</v>
      </c>
      <c r="N137" s="131">
        <f t="shared" si="59"/>
        <v>0.37999999999999989</v>
      </c>
      <c r="O137" s="131">
        <v>0.11</v>
      </c>
      <c r="P137" s="131">
        <v>0.2</v>
      </c>
      <c r="Q137" s="131">
        <f t="shared" si="60"/>
        <v>0.10328358208955224</v>
      </c>
      <c r="R137" s="188">
        <f t="shared" si="64"/>
        <v>9.3788429387043433</v>
      </c>
      <c r="S137" s="188">
        <f t="shared" si="61"/>
        <v>0.28041838606195124</v>
      </c>
      <c r="T137" s="188">
        <f t="shared" si="62"/>
        <v>0.94444444444444442</v>
      </c>
      <c r="U137" s="188">
        <v>30.6</v>
      </c>
      <c r="V137" s="188">
        <f>1-0.755</f>
        <v>0.245</v>
      </c>
      <c r="W137" s="188">
        <f t="shared" ref="W137:W147" si="68">(U137/100+V137)/2</f>
        <v>0.27549999999999997</v>
      </c>
      <c r="X137" s="188">
        <v>0.41699999999999998</v>
      </c>
      <c r="Y137" s="188">
        <v>-0.06</v>
      </c>
      <c r="Z137" s="188">
        <f t="shared" ref="Z137:Z146" si="69">(Y137+X137+M137)/3</f>
        <v>0.21399999999999997</v>
      </c>
      <c r="AA137" s="188">
        <f>75/124</f>
        <v>0.60483870967741937</v>
      </c>
      <c r="AB137" s="188">
        <f>AA137</f>
        <v>0.60483870967741937</v>
      </c>
      <c r="AC137" s="188">
        <f t="shared" si="65"/>
        <v>2.8110051238137981</v>
      </c>
      <c r="AD137" s="188">
        <v>29</v>
      </c>
      <c r="AE137" s="188">
        <v>4.5</v>
      </c>
      <c r="AF137" s="188">
        <v>3.4</v>
      </c>
      <c r="AG137" s="188"/>
      <c r="AH137" s="188">
        <v>7.15</v>
      </c>
      <c r="AI137" s="188">
        <f t="shared" si="63"/>
        <v>0.29971768822499645</v>
      </c>
    </row>
    <row r="138" spans="4:35" ht="14">
      <c r="D138" s="164" t="s">
        <v>134</v>
      </c>
      <c r="E138" s="181">
        <v>4</v>
      </c>
      <c r="F138" s="181">
        <v>3</v>
      </c>
      <c r="G138" s="182" t="s">
        <v>3</v>
      </c>
      <c r="H138" s="131">
        <f t="shared" si="57"/>
        <v>1.8333333333333335</v>
      </c>
      <c r="I138" s="131">
        <v>40.5</v>
      </c>
      <c r="J138" s="131">
        <f t="shared" si="66"/>
        <v>2.1131000000000002</v>
      </c>
      <c r="K138" s="131">
        <f t="shared" si="67"/>
        <v>1.4315500000000001</v>
      </c>
      <c r="L138" s="131">
        <v>0.75</v>
      </c>
      <c r="M138" s="131">
        <f t="shared" si="58"/>
        <v>0.34599999999999997</v>
      </c>
      <c r="N138" s="131">
        <f t="shared" si="59"/>
        <v>0.46133333333333332</v>
      </c>
      <c r="O138" s="131">
        <v>0.08</v>
      </c>
      <c r="P138" s="131">
        <v>0.2</v>
      </c>
      <c r="Q138" s="131">
        <f t="shared" si="60"/>
        <v>0.10238805970149255</v>
      </c>
      <c r="R138" s="188">
        <f t="shared" si="64"/>
        <v>38.783602987689704</v>
      </c>
      <c r="S138" s="188">
        <f t="shared" si="61"/>
        <v>6.7812162805884424E-2</v>
      </c>
      <c r="T138" s="188">
        <f t="shared" si="62"/>
        <v>0.7222222222222221</v>
      </c>
      <c r="U138" s="188">
        <v>50.9</v>
      </c>
      <c r="V138" s="188">
        <v>0.56899999999999995</v>
      </c>
      <c r="W138" s="188">
        <f t="shared" si="68"/>
        <v>0.53899999999999992</v>
      </c>
      <c r="X138" s="188">
        <v>0.223</v>
      </c>
      <c r="Y138" s="188">
        <v>0.1</v>
      </c>
      <c r="Z138" s="188">
        <f t="shared" si="69"/>
        <v>0.223</v>
      </c>
      <c r="AA138" s="188" t="s">
        <v>225</v>
      </c>
      <c r="AB138" s="188">
        <v>0.1</v>
      </c>
      <c r="AC138" s="188">
        <f t="shared" si="65"/>
        <v>1.8636847111085764</v>
      </c>
      <c r="AD138" s="188">
        <v>37</v>
      </c>
      <c r="AE138" s="188">
        <v>1.9</v>
      </c>
      <c r="AF138" s="188">
        <v>7</v>
      </c>
      <c r="AG138" s="188"/>
      <c r="AH138" s="188">
        <v>6.54</v>
      </c>
      <c r="AI138" s="188">
        <f t="shared" si="63"/>
        <v>4.8053418649632119E-2</v>
      </c>
    </row>
    <row r="139" spans="4:35" ht="14">
      <c r="D139" s="164" t="s">
        <v>135</v>
      </c>
      <c r="E139" s="181">
        <v>3</v>
      </c>
      <c r="F139" s="181">
        <v>3</v>
      </c>
      <c r="G139" s="182" t="s">
        <v>3</v>
      </c>
      <c r="H139" s="131">
        <f t="shared" si="57"/>
        <v>1.6666666666666665</v>
      </c>
      <c r="I139" s="131">
        <v>41</v>
      </c>
      <c r="J139" s="131">
        <f t="shared" si="66"/>
        <v>2.1515333333333335</v>
      </c>
      <c r="K139" s="131">
        <f t="shared" si="67"/>
        <v>1.4507666666666668</v>
      </c>
      <c r="L139" s="131">
        <v>0.75</v>
      </c>
      <c r="M139" s="131">
        <f t="shared" si="58"/>
        <v>0.36</v>
      </c>
      <c r="N139" s="131">
        <f t="shared" si="59"/>
        <v>0.48</v>
      </c>
      <c r="O139" s="131">
        <v>7.0000000000000007E-2</v>
      </c>
      <c r="P139" s="131">
        <v>0.2</v>
      </c>
      <c r="Q139" s="131">
        <f t="shared" si="60"/>
        <v>0.10208955223880598</v>
      </c>
      <c r="R139" s="188">
        <f t="shared" si="64"/>
        <v>29.60945388004065</v>
      </c>
      <c r="S139" s="188">
        <f t="shared" si="61"/>
        <v>8.8822982370939607E-2</v>
      </c>
      <c r="T139" s="188">
        <f t="shared" si="62"/>
        <v>0.77777777777777779</v>
      </c>
      <c r="U139" s="188">
        <v>53.2</v>
      </c>
      <c r="V139" s="188">
        <v>0.36</v>
      </c>
      <c r="W139" s="188">
        <f t="shared" si="68"/>
        <v>0.44600000000000001</v>
      </c>
      <c r="X139" s="188">
        <v>0.17399999999999999</v>
      </c>
      <c r="Y139" s="188">
        <v>0.36</v>
      </c>
      <c r="Z139" s="188">
        <f t="shared" si="69"/>
        <v>0.29799999999999999</v>
      </c>
      <c r="AA139" s="188">
        <f>6/131</f>
        <v>4.5801526717557252E-2</v>
      </c>
      <c r="AB139" s="188">
        <f>AA139</f>
        <v>4.5801526717557252E-2</v>
      </c>
      <c r="AC139" s="188">
        <f t="shared" si="65"/>
        <v>1.8483439505632235</v>
      </c>
      <c r="AD139" s="188">
        <v>18.8</v>
      </c>
      <c r="AE139" s="188">
        <v>6.6</v>
      </c>
      <c r="AF139" s="188">
        <v>6.33</v>
      </c>
      <c r="AG139" s="188"/>
      <c r="AH139" s="188">
        <v>6.4</v>
      </c>
      <c r="AI139" s="188">
        <f t="shared" si="63"/>
        <v>6.2424114880726266E-2</v>
      </c>
    </row>
    <row r="140" spans="4:35" ht="14">
      <c r="D140" s="164" t="s">
        <v>136</v>
      </c>
      <c r="E140" s="181">
        <v>2</v>
      </c>
      <c r="F140" s="181">
        <v>3</v>
      </c>
      <c r="G140" s="182" t="s">
        <v>8</v>
      </c>
      <c r="H140" s="131">
        <f t="shared" si="57"/>
        <v>1.5</v>
      </c>
      <c r="I140" s="131">
        <v>35.9</v>
      </c>
      <c r="J140" s="131">
        <f t="shared" si="66"/>
        <v>1.759513333333333</v>
      </c>
      <c r="K140" s="131">
        <f t="shared" si="67"/>
        <v>1.2547566666666665</v>
      </c>
      <c r="L140" s="131">
        <v>0.75</v>
      </c>
      <c r="M140" s="131">
        <f t="shared" si="58"/>
        <v>0.36</v>
      </c>
      <c r="N140" s="131">
        <f t="shared" si="59"/>
        <v>0.48</v>
      </c>
      <c r="O140" s="131">
        <v>0.28000000000000003</v>
      </c>
      <c r="P140" s="131">
        <v>0.2</v>
      </c>
      <c r="Q140" s="131">
        <f t="shared" si="60"/>
        <v>0.10835820895522388</v>
      </c>
      <c r="R140" s="188">
        <f t="shared" si="64"/>
        <v>15.873837494949949</v>
      </c>
      <c r="S140" s="188">
        <f t="shared" si="61"/>
        <v>0.16568142396800392</v>
      </c>
      <c r="T140" s="188">
        <f t="shared" si="62"/>
        <v>0.83333333333333337</v>
      </c>
      <c r="U140" s="188">
        <v>48</v>
      </c>
      <c r="V140" s="188">
        <f>1-0.723</f>
        <v>0.27700000000000002</v>
      </c>
      <c r="W140" s="188">
        <f t="shared" si="68"/>
        <v>0.3785</v>
      </c>
      <c r="X140" s="188">
        <v>0.219</v>
      </c>
      <c r="Y140" s="188">
        <v>0.38</v>
      </c>
      <c r="Z140" s="188">
        <f t="shared" si="69"/>
        <v>0.31966666666666665</v>
      </c>
      <c r="AA140" s="188">
        <f>64/141</f>
        <v>0.45390070921985815</v>
      </c>
      <c r="AB140" s="188">
        <f>AA140</f>
        <v>0.45390070921985815</v>
      </c>
      <c r="AC140" s="188">
        <f t="shared" si="65"/>
        <v>2.6118431153441586</v>
      </c>
      <c r="AD140" s="188">
        <v>34.799999999999997</v>
      </c>
      <c r="AE140" s="188">
        <v>6.8</v>
      </c>
      <c r="AF140" s="188">
        <v>31</v>
      </c>
      <c r="AG140" s="188"/>
      <c r="AH140" s="188">
        <v>6.4</v>
      </c>
      <c r="AI140" s="188">
        <f t="shared" si="63"/>
        <v>0.16453759944153906</v>
      </c>
    </row>
    <row r="141" spans="4:35" ht="14">
      <c r="D141" s="164" t="s">
        <v>137</v>
      </c>
      <c r="E141" s="181">
        <v>3</v>
      </c>
      <c r="F141" s="181">
        <v>3</v>
      </c>
      <c r="G141" s="182" t="s">
        <v>3</v>
      </c>
      <c r="H141" s="131">
        <f t="shared" si="57"/>
        <v>1.6666666666666665</v>
      </c>
      <c r="I141" s="131">
        <v>31</v>
      </c>
      <c r="J141" s="131">
        <f t="shared" si="66"/>
        <v>1.3828666666666667</v>
      </c>
      <c r="K141" s="131">
        <f t="shared" si="67"/>
        <v>1.0664333333333333</v>
      </c>
      <c r="L141" s="131">
        <v>0.75</v>
      </c>
      <c r="M141" s="131">
        <f t="shared" si="58"/>
        <v>0.38800000000000001</v>
      </c>
      <c r="N141" s="131">
        <f t="shared" si="59"/>
        <v>0.51733333333333331</v>
      </c>
      <c r="O141" s="131">
        <v>0.43</v>
      </c>
      <c r="P141" s="131">
        <v>0.4</v>
      </c>
      <c r="Q141" s="131">
        <f t="shared" si="60"/>
        <v>0.21283582089552239</v>
      </c>
      <c r="R141" s="188">
        <f t="shared" si="64"/>
        <v>19.972123559795545</v>
      </c>
      <c r="S141" s="188">
        <f t="shared" si="61"/>
        <v>0.13168354342120459</v>
      </c>
      <c r="T141" s="188">
        <f t="shared" si="62"/>
        <v>0.77777777777777779</v>
      </c>
      <c r="U141" s="188">
        <v>45.8</v>
      </c>
      <c r="V141" s="188">
        <f>1-0.638</f>
        <v>0.36199999999999999</v>
      </c>
      <c r="W141" s="188">
        <f t="shared" si="68"/>
        <v>0.41</v>
      </c>
      <c r="X141" s="188">
        <v>0.49399999999999999</v>
      </c>
      <c r="Y141" s="188">
        <f>1-0.37</f>
        <v>0.63</v>
      </c>
      <c r="Z141" s="188">
        <f t="shared" si="69"/>
        <v>0.504</v>
      </c>
      <c r="AA141" s="188">
        <f>-1/12.7</f>
        <v>-7.874015748031496E-2</v>
      </c>
      <c r="AB141" s="188">
        <f>AA141</f>
        <v>-7.874015748031496E-2</v>
      </c>
      <c r="AC141" s="188">
        <f t="shared" si="65"/>
        <v>1.9148638896043551</v>
      </c>
      <c r="AD141" s="188">
        <v>32.9</v>
      </c>
      <c r="AE141" s="188">
        <v>7.2</v>
      </c>
      <c r="AF141" s="188">
        <v>92</v>
      </c>
      <c r="AG141" s="188"/>
      <c r="AH141" s="188">
        <v>6.12</v>
      </c>
      <c r="AI141" s="188">
        <f t="shared" si="63"/>
        <v>9.5876829715745945E-2</v>
      </c>
    </row>
    <row r="142" spans="4:35" ht="14">
      <c r="D142" s="164" t="s">
        <v>138</v>
      </c>
      <c r="E142" s="181">
        <v>1</v>
      </c>
      <c r="F142" s="181">
        <v>1</v>
      </c>
      <c r="G142" s="182" t="s">
        <v>8</v>
      </c>
      <c r="H142" s="131">
        <f t="shared" si="57"/>
        <v>1</v>
      </c>
      <c r="I142" s="131">
        <v>27.2</v>
      </c>
      <c r="J142" s="131">
        <f t="shared" si="66"/>
        <v>1.0907733333333334</v>
      </c>
      <c r="K142" s="131">
        <f t="shared" si="67"/>
        <v>0.92038666666666669</v>
      </c>
      <c r="L142" s="131">
        <v>0.75</v>
      </c>
      <c r="M142" s="131">
        <f t="shared" si="58"/>
        <v>0.29500000000000004</v>
      </c>
      <c r="N142" s="131">
        <f t="shared" si="59"/>
        <v>0.39333333333333337</v>
      </c>
      <c r="O142" s="131">
        <v>0.7</v>
      </c>
      <c r="P142" s="131">
        <v>0.4</v>
      </c>
      <c r="Q142" s="131">
        <f t="shared" si="60"/>
        <v>0.22089552238805971</v>
      </c>
      <c r="R142" s="188">
        <f t="shared" si="64"/>
        <v>4.639541387201418</v>
      </c>
      <c r="S142" s="188">
        <f t="shared" si="61"/>
        <v>0.56686637331333778</v>
      </c>
      <c r="T142" s="188">
        <f t="shared" si="62"/>
        <v>1</v>
      </c>
      <c r="U142" s="188">
        <v>34.200000000000003</v>
      </c>
      <c r="V142" s="188">
        <v>0.20499999999999999</v>
      </c>
      <c r="W142" s="188">
        <f t="shared" si="68"/>
        <v>0.27350000000000002</v>
      </c>
      <c r="X142" s="188">
        <v>0.56699999999999995</v>
      </c>
      <c r="Y142" s="188">
        <v>0.62</v>
      </c>
      <c r="Z142" s="188">
        <f t="shared" si="69"/>
        <v>0.49399999999999994</v>
      </c>
      <c r="AA142" s="188">
        <f>3/126</f>
        <v>2.3809523809523808E-2</v>
      </c>
      <c r="AB142" s="188">
        <f>AA142</f>
        <v>2.3809523809523808E-2</v>
      </c>
      <c r="AC142" s="188">
        <f t="shared" si="65"/>
        <v>2.2062837164129347</v>
      </c>
      <c r="AD142" s="188">
        <v>17</v>
      </c>
      <c r="AE142" s="188">
        <v>12</v>
      </c>
      <c r="AF142" s="188">
        <v>39</v>
      </c>
      <c r="AG142" s="188"/>
      <c r="AH142" s="188">
        <v>7.05</v>
      </c>
      <c r="AI142" s="188">
        <f t="shared" si="63"/>
        <v>0.47553918206208096</v>
      </c>
    </row>
    <row r="143" spans="4:35" ht="14">
      <c r="D143" s="164" t="s">
        <v>139</v>
      </c>
      <c r="E143" s="181">
        <v>1</v>
      </c>
      <c r="F143" s="181">
        <v>1</v>
      </c>
      <c r="G143" s="182" t="s">
        <v>8</v>
      </c>
      <c r="H143" s="131">
        <f t="shared" si="57"/>
        <v>1</v>
      </c>
      <c r="I143" s="131">
        <v>28.4</v>
      </c>
      <c r="J143" s="131">
        <f t="shared" si="66"/>
        <v>1.1830133333333333</v>
      </c>
      <c r="K143" s="131">
        <f t="shared" si="67"/>
        <v>1.0915066666666666</v>
      </c>
      <c r="L143" s="131">
        <v>1</v>
      </c>
      <c r="M143" s="131">
        <f t="shared" si="58"/>
        <v>0.19800000000000006</v>
      </c>
      <c r="N143" s="131">
        <f t="shared" si="59"/>
        <v>0.26400000000000007</v>
      </c>
      <c r="O143" s="131">
        <v>0.44</v>
      </c>
      <c r="P143" s="131">
        <v>0.4</v>
      </c>
      <c r="Q143" s="131">
        <f t="shared" si="60"/>
        <v>0.21313432835820897</v>
      </c>
      <c r="R143" s="188">
        <f t="shared" si="64"/>
        <v>4.800120371642226</v>
      </c>
      <c r="S143" s="188">
        <f t="shared" si="61"/>
        <v>0.54790292667186169</v>
      </c>
      <c r="T143" s="188">
        <f t="shared" si="62"/>
        <v>1</v>
      </c>
      <c r="U143" s="188">
        <v>38.5</v>
      </c>
      <c r="V143" s="188">
        <v>0.20499999999999999</v>
      </c>
      <c r="W143" s="188">
        <f t="shared" si="68"/>
        <v>0.29499999999999998</v>
      </c>
      <c r="X143" s="188">
        <v>1.0329999999999999</v>
      </c>
      <c r="Y143" s="188">
        <v>1.22</v>
      </c>
      <c r="Z143" s="188">
        <f t="shared" si="69"/>
        <v>0.81700000000000006</v>
      </c>
      <c r="AA143" s="188">
        <f>-2/103</f>
        <v>-1.9417475728155338E-2</v>
      </c>
      <c r="AB143" s="188">
        <f>AA143</f>
        <v>-1.9417475728155338E-2</v>
      </c>
      <c r="AC143" s="188">
        <f t="shared" si="65"/>
        <v>2.9819651344489926</v>
      </c>
      <c r="AD143" s="188">
        <v>18</v>
      </c>
      <c r="AE143" s="188">
        <v>12.4</v>
      </c>
      <c r="AF143" s="188">
        <v>10.58</v>
      </c>
      <c r="AG143" s="188"/>
      <c r="AH143" s="188">
        <v>8.02</v>
      </c>
      <c r="AI143" s="188">
        <f t="shared" si="63"/>
        <v>0.62122715756580016</v>
      </c>
    </row>
    <row r="144" spans="4:35" ht="14">
      <c r="D144" s="164" t="s">
        <v>140</v>
      </c>
      <c r="E144" s="181">
        <v>6</v>
      </c>
      <c r="F144" s="181">
        <v>5</v>
      </c>
      <c r="G144" s="182" t="s">
        <v>4</v>
      </c>
      <c r="H144" s="131">
        <f t="shared" si="57"/>
        <v>2.5</v>
      </c>
      <c r="I144" s="131">
        <v>35.9</v>
      </c>
      <c r="J144" s="131">
        <f t="shared" si="66"/>
        <v>1.759513333333333</v>
      </c>
      <c r="K144" s="131">
        <f t="shared" si="67"/>
        <v>1.2547566666666665</v>
      </c>
      <c r="L144" s="131">
        <v>0.75</v>
      </c>
      <c r="M144" s="131">
        <f t="shared" si="58"/>
        <v>0.69100000000000006</v>
      </c>
      <c r="N144" s="131">
        <f t="shared" si="59"/>
        <v>0.92133333333333345</v>
      </c>
      <c r="O144" s="131">
        <v>0.15</v>
      </c>
      <c r="P144" s="131">
        <v>0.2</v>
      </c>
      <c r="Q144" s="131">
        <f t="shared" si="60"/>
        <v>0.10447761194029852</v>
      </c>
      <c r="R144" s="188">
        <f t="shared" si="64"/>
        <v>299.29180377936075</v>
      </c>
      <c r="S144" s="188">
        <f t="shared" si="61"/>
        <v>8.787410703498073E-3</v>
      </c>
      <c r="T144" s="188">
        <f t="shared" si="62"/>
        <v>0.5</v>
      </c>
      <c r="U144" s="188">
        <v>41.1</v>
      </c>
      <c r="V144" s="188">
        <f>1-0.803</f>
        <v>0.19699999999999995</v>
      </c>
      <c r="W144" s="188">
        <f t="shared" si="68"/>
        <v>0.30399999999999999</v>
      </c>
      <c r="X144" s="188">
        <v>8.8999999999999996E-2</v>
      </c>
      <c r="Y144" s="188">
        <v>1.58</v>
      </c>
      <c r="Z144" s="188">
        <f t="shared" si="69"/>
        <v>0.78666666666666674</v>
      </c>
      <c r="AA144" s="188" t="s">
        <v>225</v>
      </c>
      <c r="AB144" s="188">
        <v>0.1</v>
      </c>
      <c r="AC144" s="188">
        <f t="shared" si="65"/>
        <v>1.8136353893436106</v>
      </c>
      <c r="AD144" s="188" t="s">
        <v>223</v>
      </c>
      <c r="AE144" s="188">
        <v>0.4</v>
      </c>
      <c r="AF144" s="188">
        <v>1.8</v>
      </c>
      <c r="AG144" s="188"/>
      <c r="AH144" s="188">
        <v>3.09</v>
      </c>
      <c r="AI144" s="188">
        <f t="shared" si="63"/>
        <v>6.0597562861448443E-3</v>
      </c>
    </row>
    <row r="145" spans="4:35" ht="14">
      <c r="D145" s="164" t="s">
        <v>141</v>
      </c>
      <c r="E145" s="181">
        <v>2</v>
      </c>
      <c r="F145" s="181">
        <v>2</v>
      </c>
      <c r="G145" s="182" t="s">
        <v>8</v>
      </c>
      <c r="H145" s="131">
        <f t="shared" si="57"/>
        <v>1.3333333333333333</v>
      </c>
      <c r="I145" s="131">
        <v>24.5</v>
      </c>
      <c r="J145" s="131">
        <f t="shared" si="66"/>
        <v>0.88323333333333331</v>
      </c>
      <c r="K145" s="131">
        <f t="shared" si="67"/>
        <v>0.81661666666666666</v>
      </c>
      <c r="L145" s="131">
        <v>0.75</v>
      </c>
      <c r="M145" s="131">
        <f t="shared" si="58"/>
        <v>0.34000000000000008</v>
      </c>
      <c r="N145" s="131">
        <f t="shared" si="59"/>
        <v>0.45333333333333342</v>
      </c>
      <c r="O145" s="131">
        <v>0.44</v>
      </c>
      <c r="P145" s="131">
        <v>0.4</v>
      </c>
      <c r="Q145" s="131">
        <f t="shared" si="60"/>
        <v>0.21313432835820897</v>
      </c>
      <c r="R145" s="188">
        <f t="shared" si="64"/>
        <v>7.2242669680666669</v>
      </c>
      <c r="S145" s="188">
        <f t="shared" si="61"/>
        <v>0.36405077658748697</v>
      </c>
      <c r="T145" s="188">
        <f t="shared" si="62"/>
        <v>0.88888888888888895</v>
      </c>
      <c r="U145" s="188">
        <v>33.299999999999997</v>
      </c>
      <c r="V145" s="188">
        <f>1-0.767</f>
        <v>0.23299999999999998</v>
      </c>
      <c r="W145" s="188">
        <f t="shared" si="68"/>
        <v>0.28299999999999997</v>
      </c>
      <c r="X145" s="188">
        <v>0.38600000000000001</v>
      </c>
      <c r="Y145" s="188">
        <v>0.85</v>
      </c>
      <c r="Z145" s="188">
        <f t="shared" si="69"/>
        <v>0.52533333333333332</v>
      </c>
      <c r="AA145" s="188">
        <f>14/116</f>
        <v>0.1206896551724138</v>
      </c>
      <c r="AB145" s="188">
        <f>AA145</f>
        <v>0.1206896551724138</v>
      </c>
      <c r="AC145" s="188">
        <f t="shared" si="65"/>
        <v>2.2837029170853715</v>
      </c>
      <c r="AD145" s="188">
        <v>21.1</v>
      </c>
      <c r="AE145" s="188">
        <v>7</v>
      </c>
      <c r="AF145" s="188">
        <v>18</v>
      </c>
      <c r="AG145" s="188"/>
      <c r="AH145" s="188">
        <v>6.6</v>
      </c>
      <c r="AI145" s="188">
        <f t="shared" si="63"/>
        <v>0.31611552108746727</v>
      </c>
    </row>
    <row r="146" spans="4:35" ht="14">
      <c r="D146" s="164" t="s">
        <v>142</v>
      </c>
      <c r="E146" s="181">
        <v>6</v>
      </c>
      <c r="F146" s="181">
        <v>5</v>
      </c>
      <c r="G146" s="182" t="s">
        <v>4</v>
      </c>
      <c r="H146" s="131">
        <f t="shared" si="57"/>
        <v>2.5</v>
      </c>
      <c r="I146" s="131">
        <v>33.5</v>
      </c>
      <c r="J146" s="131">
        <f t="shared" si="66"/>
        <v>1.5750333333333333</v>
      </c>
      <c r="K146" s="131">
        <f t="shared" si="67"/>
        <v>1.2875166666666666</v>
      </c>
      <c r="L146" s="131">
        <v>1</v>
      </c>
      <c r="M146" s="131">
        <f t="shared" si="58"/>
        <v>0.57400000000000007</v>
      </c>
      <c r="N146" s="131">
        <f t="shared" si="59"/>
        <v>0.76533333333333342</v>
      </c>
      <c r="O146" s="131">
        <v>2.39</v>
      </c>
      <c r="P146" s="131">
        <v>0.8</v>
      </c>
      <c r="Q146" s="131">
        <f t="shared" si="60"/>
        <v>0.47134328358208955</v>
      </c>
      <c r="R146" s="188">
        <f t="shared" si="64"/>
        <v>550.31079968266897</v>
      </c>
      <c r="S146" s="188">
        <f t="shared" si="61"/>
        <v>4.7791175486953229E-3</v>
      </c>
      <c r="T146" s="188">
        <f t="shared" si="62"/>
        <v>0.5</v>
      </c>
      <c r="U146" s="188">
        <v>43</v>
      </c>
      <c r="V146" s="188">
        <f>1-0.719</f>
        <v>0.28100000000000003</v>
      </c>
      <c r="W146" s="188">
        <f t="shared" si="68"/>
        <v>0.35550000000000004</v>
      </c>
      <c r="X146" s="188">
        <v>8.6999999999999994E-2</v>
      </c>
      <c r="Y146" s="188">
        <v>0.56999999999999995</v>
      </c>
      <c r="Z146" s="188">
        <f t="shared" si="69"/>
        <v>0.41033333333333327</v>
      </c>
      <c r="AA146" s="188">
        <f>30/118</f>
        <v>0.25423728813559321</v>
      </c>
      <c r="AB146" s="188">
        <f>AA146</f>
        <v>0.25423728813559321</v>
      </c>
      <c r="AC146" s="188">
        <f t="shared" si="65"/>
        <v>1.6653499986392697</v>
      </c>
      <c r="AD146" s="188">
        <v>13.1</v>
      </c>
      <c r="AE146" s="188">
        <v>6.8</v>
      </c>
      <c r="AF146" s="188">
        <v>143</v>
      </c>
      <c r="AG146" s="188"/>
      <c r="AH146" s="188">
        <v>4.26</v>
      </c>
      <c r="AI146" s="188">
        <f t="shared" si="63"/>
        <v>3.0261990126299113E-3</v>
      </c>
    </row>
    <row r="147" spans="4:35" ht="14">
      <c r="D147" s="164" t="s">
        <v>143</v>
      </c>
      <c r="E147" s="181">
        <v>6</v>
      </c>
      <c r="F147" s="181">
        <v>5</v>
      </c>
      <c r="G147" s="182" t="s">
        <v>4</v>
      </c>
      <c r="H147" s="131">
        <f t="shared" si="57"/>
        <v>2.5</v>
      </c>
      <c r="I147" s="131">
        <v>38.200000000000003</v>
      </c>
      <c r="J147" s="131">
        <f t="shared" si="66"/>
        <v>1.9363066666666668</v>
      </c>
      <c r="K147" s="131">
        <f t="shared" si="67"/>
        <v>1.3431533333333334</v>
      </c>
      <c r="L147" s="131">
        <v>0.75</v>
      </c>
      <c r="M147" s="131">
        <f t="shared" si="58"/>
        <v>0.67500000000000004</v>
      </c>
      <c r="N147" s="131">
        <f t="shared" si="59"/>
        <v>0.9</v>
      </c>
      <c r="O147" s="131">
        <v>0.06</v>
      </c>
      <c r="P147" s="131">
        <v>0.2</v>
      </c>
      <c r="Q147" s="131">
        <f t="shared" si="60"/>
        <v>0.1017910447761194</v>
      </c>
      <c r="R147" s="188">
        <f t="shared" si="64"/>
        <v>351.5531627789627</v>
      </c>
      <c r="S147" s="188">
        <f t="shared" si="61"/>
        <v>7.481087580638833E-3</v>
      </c>
      <c r="T147" s="188">
        <f t="shared" si="62"/>
        <v>0.5</v>
      </c>
      <c r="U147" s="188">
        <v>46.8</v>
      </c>
      <c r="V147" s="188">
        <v>0.61499999999999999</v>
      </c>
      <c r="W147" s="188">
        <f t="shared" si="68"/>
        <v>0.54149999999999998</v>
      </c>
      <c r="X147" s="188"/>
      <c r="Y147" s="188">
        <v>0.3</v>
      </c>
      <c r="Z147" s="188">
        <f>(Y147+N147)/2</f>
        <v>0.6</v>
      </c>
      <c r="AA147" s="188" t="s">
        <v>225</v>
      </c>
      <c r="AB147" s="188">
        <v>0.1</v>
      </c>
      <c r="AC147" s="188">
        <f t="shared" si="65"/>
        <v>1.8603227608319688</v>
      </c>
      <c r="AD147" s="188">
        <v>60</v>
      </c>
      <c r="AE147" s="188"/>
      <c r="AF147" s="188">
        <v>10.718</v>
      </c>
      <c r="AG147" s="188"/>
      <c r="AH147" s="188">
        <v>3.25</v>
      </c>
      <c r="AI147" s="188">
        <f t="shared" si="63"/>
        <v>5.2917252859466879E-3</v>
      </c>
    </row>
    <row r="148" spans="4:35" ht="14">
      <c r="D148" s="164" t="s">
        <v>144</v>
      </c>
      <c r="E148" s="181">
        <v>2</v>
      </c>
      <c r="F148" s="181">
        <v>2</v>
      </c>
      <c r="G148" s="182" t="s">
        <v>8</v>
      </c>
      <c r="H148" s="131">
        <f t="shared" si="57"/>
        <v>1.3333333333333333</v>
      </c>
      <c r="I148" s="131"/>
      <c r="J148" s="131">
        <f t="shared" si="66"/>
        <v>-1</v>
      </c>
      <c r="K148" s="131">
        <v>0.75</v>
      </c>
      <c r="L148" s="131">
        <v>0.75</v>
      </c>
      <c r="M148" s="131">
        <f t="shared" si="58"/>
        <v>0.39</v>
      </c>
      <c r="N148" s="131">
        <f t="shared" si="59"/>
        <v>0.52</v>
      </c>
      <c r="O148" s="131">
        <v>0.03</v>
      </c>
      <c r="P148" s="131">
        <v>0.2</v>
      </c>
      <c r="Q148" s="131">
        <f t="shared" si="60"/>
        <v>0.10089552238805971</v>
      </c>
      <c r="R148" s="188">
        <f t="shared" si="64"/>
        <v>6.2205647379823672</v>
      </c>
      <c r="S148" s="188">
        <f t="shared" si="61"/>
        <v>0.42279119513721791</v>
      </c>
      <c r="T148" s="188">
        <f t="shared" si="62"/>
        <v>0.88888888888888895</v>
      </c>
      <c r="U148" s="188"/>
      <c r="V148" s="189">
        <v>0.23</v>
      </c>
      <c r="W148" s="188">
        <f>V148</f>
        <v>0.23</v>
      </c>
      <c r="X148" s="188"/>
      <c r="Y148" s="188">
        <v>0.8</v>
      </c>
      <c r="Z148" s="188">
        <f>(Y148+N148)/2</f>
        <v>0.66</v>
      </c>
      <c r="AA148" s="188" t="s">
        <v>225</v>
      </c>
      <c r="AB148" s="188">
        <v>0.1</v>
      </c>
      <c r="AC148" s="188">
        <f t="shared" si="65"/>
        <v>2.4108997064172097</v>
      </c>
      <c r="AD148" s="188" t="s">
        <v>223</v>
      </c>
      <c r="AE148" s="188"/>
      <c r="AF148" s="188">
        <v>0.186</v>
      </c>
      <c r="AG148" s="188"/>
      <c r="AH148" s="188">
        <v>6.1</v>
      </c>
      <c r="AI148" s="188">
        <f t="shared" si="63"/>
        <v>0.38756926548749049</v>
      </c>
    </row>
    <row r="149" spans="4:35" ht="14">
      <c r="D149" s="164" t="s">
        <v>145</v>
      </c>
      <c r="E149" s="181">
        <v>1</v>
      </c>
      <c r="F149" s="181">
        <v>1</v>
      </c>
      <c r="G149" s="182" t="s">
        <v>8</v>
      </c>
      <c r="H149" s="131">
        <f t="shared" si="57"/>
        <v>1</v>
      </c>
      <c r="I149" s="131"/>
      <c r="J149" s="131">
        <f t="shared" si="66"/>
        <v>-1</v>
      </c>
      <c r="K149" s="131">
        <v>0.67</v>
      </c>
      <c r="L149" s="131">
        <v>0.67</v>
      </c>
      <c r="M149" s="131">
        <f t="shared" si="58"/>
        <v>0.19000000000000006</v>
      </c>
      <c r="N149" s="131">
        <f t="shared" si="59"/>
        <v>0.25333333333333341</v>
      </c>
      <c r="O149" s="131">
        <v>0.04</v>
      </c>
      <c r="P149" s="131">
        <v>0.2</v>
      </c>
      <c r="Q149" s="131">
        <f t="shared" si="60"/>
        <v>0.10119402985074627</v>
      </c>
      <c r="R149" s="188">
        <f t="shared" si="64"/>
        <v>2.7857784878911049</v>
      </c>
      <c r="S149" s="188">
        <f t="shared" si="61"/>
        <v>0.94408080593334154</v>
      </c>
      <c r="T149" s="188">
        <f t="shared" si="62"/>
        <v>1</v>
      </c>
      <c r="U149" s="188"/>
      <c r="V149" s="189">
        <v>0.15</v>
      </c>
      <c r="W149" s="188">
        <f>V149</f>
        <v>0.15</v>
      </c>
      <c r="X149" s="188"/>
      <c r="Y149" s="188">
        <v>0.92</v>
      </c>
      <c r="Z149" s="188">
        <f>(Y149+N149)/2</f>
        <v>0.58666666666666667</v>
      </c>
      <c r="AA149" s="188" t="s">
        <v>223</v>
      </c>
      <c r="AB149" s="188">
        <v>0.1</v>
      </c>
      <c r="AC149" s="188">
        <f t="shared" si="65"/>
        <v>2.3086586079439271</v>
      </c>
      <c r="AD149" s="188" t="s">
        <v>223</v>
      </c>
      <c r="AE149" s="188">
        <v>5.5</v>
      </c>
      <c r="AF149" s="188">
        <v>3.3000000000000002E-2</v>
      </c>
      <c r="AG149" s="188"/>
      <c r="AH149" s="188">
        <v>8.1</v>
      </c>
      <c r="AI149" s="188">
        <f t="shared" si="63"/>
        <v>0.82873014418731905</v>
      </c>
    </row>
    <row r="150" spans="4:35" ht="14">
      <c r="D150" s="164" t="s">
        <v>189</v>
      </c>
      <c r="E150" s="181">
        <v>2</v>
      </c>
      <c r="F150" s="181">
        <v>2</v>
      </c>
      <c r="G150" s="182" t="s">
        <v>8</v>
      </c>
      <c r="H150" s="131">
        <f t="shared" si="57"/>
        <v>1.3333333333333333</v>
      </c>
      <c r="I150" s="131"/>
      <c r="J150" s="131">
        <f t="shared" si="66"/>
        <v>-1</v>
      </c>
      <c r="K150" s="131">
        <v>0.67</v>
      </c>
      <c r="L150" s="131">
        <v>0.75</v>
      </c>
      <c r="M150" s="131">
        <f t="shared" si="58"/>
        <v>0.39</v>
      </c>
      <c r="N150" s="131">
        <f t="shared" si="59"/>
        <v>0.52</v>
      </c>
      <c r="O150" s="131">
        <v>0.03</v>
      </c>
      <c r="P150" s="131">
        <v>0.2</v>
      </c>
      <c r="Q150" s="131">
        <f t="shared" si="60"/>
        <v>0.10089552238805971</v>
      </c>
      <c r="R150" s="188">
        <f t="shared" si="64"/>
        <v>5.5912005405011271</v>
      </c>
      <c r="S150" s="188">
        <f t="shared" si="61"/>
        <v>0.47038198343074972</v>
      </c>
      <c r="T150" s="188">
        <f t="shared" si="62"/>
        <v>0.88888888888888895</v>
      </c>
      <c r="U150" s="188"/>
      <c r="V150" s="188">
        <v>0.51200000000000001</v>
      </c>
      <c r="W150" s="188">
        <f>V150</f>
        <v>0.51200000000000001</v>
      </c>
      <c r="X150" s="188"/>
      <c r="Y150" s="188">
        <v>0.5</v>
      </c>
      <c r="Z150" s="188">
        <f>(Y150+N150)/2</f>
        <v>0.51</v>
      </c>
      <c r="AA150" s="188" t="s">
        <v>225</v>
      </c>
      <c r="AB150" s="188">
        <v>0.1</v>
      </c>
      <c r="AC150" s="188">
        <f t="shared" si="65"/>
        <v>2.7110427333331559</v>
      </c>
      <c r="AD150" s="188">
        <v>54</v>
      </c>
      <c r="AE150" s="188"/>
      <c r="AF150" s="188"/>
      <c r="AG150" s="188"/>
      <c r="AH150" s="188">
        <v>6.1</v>
      </c>
      <c r="AI150" s="188">
        <f t="shared" si="63"/>
        <v>0.48487667607253648</v>
      </c>
    </row>
    <row r="151" spans="4:35" ht="14">
      <c r="D151" s="164" t="s">
        <v>146</v>
      </c>
      <c r="E151" s="181">
        <v>7</v>
      </c>
      <c r="F151" s="181">
        <v>6</v>
      </c>
      <c r="G151" s="182" t="s">
        <v>4</v>
      </c>
      <c r="H151" s="131">
        <f t="shared" si="57"/>
        <v>2.833333333333333</v>
      </c>
      <c r="I151" s="131"/>
      <c r="J151" s="131">
        <f t="shared" si="66"/>
        <v>-1</v>
      </c>
      <c r="K151" s="131">
        <v>1</v>
      </c>
      <c r="L151" s="131">
        <v>1</v>
      </c>
      <c r="M151" s="131">
        <f t="shared" si="58"/>
        <v>0.81600000000000006</v>
      </c>
      <c r="N151" s="131">
        <f t="shared" si="59"/>
        <v>1.0880000000000001</v>
      </c>
      <c r="O151" s="131">
        <v>2.8</v>
      </c>
      <c r="P151" s="131">
        <v>0.6</v>
      </c>
      <c r="Q151" s="131">
        <f t="shared" si="60"/>
        <v>0.38358208955223877</v>
      </c>
      <c r="R151" s="188">
        <f t="shared" si="64"/>
        <v>1099.7255420180268</v>
      </c>
      <c r="S151" s="188">
        <f t="shared" si="61"/>
        <v>2.3915057889570129E-3</v>
      </c>
      <c r="T151" s="188">
        <f t="shared" si="62"/>
        <v>0.38888888888888895</v>
      </c>
      <c r="U151" s="188"/>
      <c r="V151" s="188">
        <f>1-0.752</f>
        <v>0.248</v>
      </c>
      <c r="W151" s="188">
        <f>V151</f>
        <v>0.248</v>
      </c>
      <c r="X151" s="188">
        <v>9.4E-2</v>
      </c>
      <c r="Y151" s="188">
        <v>0.35</v>
      </c>
      <c r="Z151" s="188">
        <f>(Y151+X151+M151)/3</f>
        <v>0.42</v>
      </c>
      <c r="AA151" s="188">
        <f>45/114</f>
        <v>0.39473684210526316</v>
      </c>
      <c r="AB151" s="188">
        <f>AA151</f>
        <v>0.39473684210526316</v>
      </c>
      <c r="AC151" s="188">
        <f t="shared" si="65"/>
        <v>1.5117781634640139</v>
      </c>
      <c r="AD151" s="188" t="s">
        <v>223</v>
      </c>
      <c r="AE151" s="188">
        <v>10.9</v>
      </c>
      <c r="AF151" s="188">
        <v>27</v>
      </c>
      <c r="AG151" s="188"/>
      <c r="AH151" s="188">
        <v>1.84</v>
      </c>
      <c r="AI151" s="188">
        <f t="shared" si="63"/>
        <v>1.374686779293913E-3</v>
      </c>
    </row>
    <row r="152" spans="4:35" ht="14">
      <c r="D152" s="164" t="s">
        <v>147</v>
      </c>
      <c r="E152" s="181">
        <v>3</v>
      </c>
      <c r="F152" s="181">
        <v>3</v>
      </c>
      <c r="G152" s="182" t="s">
        <v>3</v>
      </c>
      <c r="H152" s="131">
        <f t="shared" si="57"/>
        <v>1.6666666666666665</v>
      </c>
      <c r="I152" s="131">
        <v>30.1</v>
      </c>
      <c r="J152" s="131">
        <f t="shared" si="66"/>
        <v>1.3136866666666669</v>
      </c>
      <c r="K152" s="131">
        <f>(J152+L152)/2</f>
        <v>1.0318433333333334</v>
      </c>
      <c r="L152" s="131">
        <v>0.75</v>
      </c>
      <c r="M152" s="131">
        <f t="shared" si="58"/>
        <v>0.47300000000000009</v>
      </c>
      <c r="N152" s="131">
        <f t="shared" si="59"/>
        <v>0.63066666666666682</v>
      </c>
      <c r="O152" s="131">
        <v>0.09</v>
      </c>
      <c r="P152" s="131">
        <v>0.2</v>
      </c>
      <c r="Q152" s="131">
        <f t="shared" si="60"/>
        <v>0.10268656716417911</v>
      </c>
      <c r="R152" s="188">
        <f t="shared" si="64"/>
        <v>18.953607420458216</v>
      </c>
      <c r="S152" s="188">
        <f t="shared" si="61"/>
        <v>0.13875986463459303</v>
      </c>
      <c r="T152" s="188">
        <f t="shared" si="62"/>
        <v>0.77777777777777779</v>
      </c>
      <c r="U152" s="188">
        <v>41.3</v>
      </c>
      <c r="V152" s="188">
        <v>0.58899999999999997</v>
      </c>
      <c r="W152" s="188">
        <f>(U152/100+V152)/2</f>
        <v>0.501</v>
      </c>
      <c r="X152" s="188">
        <v>0.33200000000000002</v>
      </c>
      <c r="Y152" s="188">
        <v>0.6</v>
      </c>
      <c r="Z152" s="188">
        <f>(Y152+X152+M152)/3</f>
        <v>0.46833333333333332</v>
      </c>
      <c r="AA152" s="188">
        <f>13/118</f>
        <v>0.11016949152542373</v>
      </c>
      <c r="AB152" s="188">
        <f>AA152</f>
        <v>0.11016949152542373</v>
      </c>
      <c r="AC152" s="188">
        <f t="shared" si="65"/>
        <v>2.3154714298812329</v>
      </c>
      <c r="AD152" s="188">
        <v>54</v>
      </c>
      <c r="AE152" s="188">
        <v>48</v>
      </c>
      <c r="AF152" s="188">
        <v>12.855</v>
      </c>
      <c r="AG152" s="188"/>
      <c r="AH152" s="188">
        <v>5.27</v>
      </c>
      <c r="AI152" s="188">
        <f t="shared" si="63"/>
        <v>0.12216520995269485</v>
      </c>
    </row>
    <row r="153" spans="4:35" ht="14">
      <c r="D153" s="164" t="s">
        <v>195</v>
      </c>
      <c r="E153" s="181">
        <v>2</v>
      </c>
      <c r="F153" s="181">
        <v>2</v>
      </c>
      <c r="G153" s="182" t="s">
        <v>8</v>
      </c>
      <c r="H153" s="131">
        <f t="shared" si="57"/>
        <v>1.3333333333333333</v>
      </c>
      <c r="I153" s="131"/>
      <c r="J153" s="131">
        <f t="shared" si="66"/>
        <v>-1</v>
      </c>
      <c r="K153" s="131">
        <v>0.75</v>
      </c>
      <c r="L153" s="131">
        <v>0.75</v>
      </c>
      <c r="M153" s="131">
        <f t="shared" si="58"/>
        <v>0.36699999999999999</v>
      </c>
      <c r="N153" s="131">
        <f t="shared" si="59"/>
        <v>0.48933333333333334</v>
      </c>
      <c r="O153" s="131">
        <v>0.22</v>
      </c>
      <c r="P153" s="131">
        <v>0.2</v>
      </c>
      <c r="Q153" s="131">
        <f t="shared" si="60"/>
        <v>0.10656716417910449</v>
      </c>
      <c r="R153" s="188">
        <f t="shared" si="64"/>
        <v>6.0166702801121135</v>
      </c>
      <c r="S153" s="188">
        <f t="shared" si="61"/>
        <v>0.43711885105178028</v>
      </c>
      <c r="T153" s="188">
        <f t="shared" si="62"/>
        <v>0.88888888888888895</v>
      </c>
      <c r="U153" s="188">
        <v>28.2</v>
      </c>
      <c r="V153" s="188">
        <f>1-0.735</f>
        <v>0.26500000000000001</v>
      </c>
      <c r="W153" s="188">
        <f>(U153/100+V153)/2</f>
        <v>0.27349999999999997</v>
      </c>
      <c r="X153" s="188">
        <v>0.41</v>
      </c>
      <c r="Y153" s="188">
        <v>0.8</v>
      </c>
      <c r="Z153" s="188">
        <f>(Y153+X153+M153)/3</f>
        <v>0.52566666666666662</v>
      </c>
      <c r="AA153" s="188">
        <f>1/117</f>
        <v>8.5470085470085479E-3</v>
      </c>
      <c r="AB153" s="188">
        <f>AA153</f>
        <v>8.5470085470085479E-3</v>
      </c>
      <c r="AC153" s="188">
        <f t="shared" si="65"/>
        <v>2.0502622489818365</v>
      </c>
      <c r="AD153" s="188">
        <v>8.8000000000000007</v>
      </c>
      <c r="AE153" s="188">
        <v>23.7</v>
      </c>
      <c r="AF153" s="188">
        <v>7</v>
      </c>
      <c r="AG153" s="188"/>
      <c r="AH153" s="188">
        <v>6.33</v>
      </c>
      <c r="AI153" s="188">
        <f t="shared" si="63"/>
        <v>0.34076360404174122</v>
      </c>
    </row>
    <row r="154" spans="4:35" ht="14">
      <c r="D154" s="164" t="s">
        <v>148</v>
      </c>
      <c r="E154" s="181">
        <v>3</v>
      </c>
      <c r="F154" s="181">
        <v>3</v>
      </c>
      <c r="G154" s="182" t="s">
        <v>3</v>
      </c>
      <c r="H154" s="131">
        <f t="shared" si="57"/>
        <v>1.6666666666666665</v>
      </c>
      <c r="I154" s="131">
        <v>15.4</v>
      </c>
      <c r="J154" s="131">
        <f t="shared" si="66"/>
        <v>0.18374666666666672</v>
      </c>
      <c r="K154" s="131">
        <f>(J154+L154)/2</f>
        <v>0.42687333333333338</v>
      </c>
      <c r="L154" s="131">
        <v>0.67</v>
      </c>
      <c r="M154" s="131">
        <f t="shared" si="58"/>
        <v>0.51</v>
      </c>
      <c r="N154" s="131">
        <f t="shared" si="59"/>
        <v>0.68</v>
      </c>
      <c r="O154" s="131">
        <v>0.03</v>
      </c>
      <c r="P154" s="131">
        <v>0.2</v>
      </c>
      <c r="Q154" s="131">
        <f t="shared" si="60"/>
        <v>0.10089552238805971</v>
      </c>
      <c r="R154" s="188">
        <f t="shared" si="64"/>
        <v>7.4853523646492306</v>
      </c>
      <c r="S154" s="188">
        <f t="shared" si="61"/>
        <v>0.35135286515309472</v>
      </c>
      <c r="T154" s="188">
        <f t="shared" si="62"/>
        <v>0.77777777777777779</v>
      </c>
      <c r="U154" s="188">
        <v>65.8</v>
      </c>
      <c r="V154" s="189">
        <v>0.43</v>
      </c>
      <c r="W154" s="188">
        <f>(U154/100+V154)/2</f>
        <v>0.54399999999999993</v>
      </c>
      <c r="X154" s="188">
        <v>0.46200000000000002</v>
      </c>
      <c r="Y154" s="188">
        <v>0.5</v>
      </c>
      <c r="Z154" s="188">
        <f>(Y154+X154+M154)/3</f>
        <v>0.49066666666666664</v>
      </c>
      <c r="AA154" s="188">
        <f>-34/125</f>
        <v>-0.27200000000000002</v>
      </c>
      <c r="AB154" s="188">
        <f>AA154</f>
        <v>-0.27200000000000002</v>
      </c>
      <c r="AC154" s="188">
        <f t="shared" si="65"/>
        <v>1.80974361339279</v>
      </c>
      <c r="AD154" s="188" t="s">
        <v>223</v>
      </c>
      <c r="AE154" s="188">
        <v>2</v>
      </c>
      <c r="AF154" s="188">
        <v>0.09</v>
      </c>
      <c r="AG154" s="188"/>
      <c r="AH154" s="188">
        <v>4.9000000000000004</v>
      </c>
      <c r="AI154" s="188">
        <f t="shared" si="63"/>
        <v>0.24177133222740357</v>
      </c>
    </row>
    <row r="155" spans="4:35" ht="14">
      <c r="D155" s="164" t="s">
        <v>149</v>
      </c>
      <c r="E155" s="181">
        <v>3</v>
      </c>
      <c r="F155" s="181">
        <v>3</v>
      </c>
      <c r="G155" s="182" t="s">
        <v>3</v>
      </c>
      <c r="H155" s="131">
        <f t="shared" si="57"/>
        <v>1.6666666666666665</v>
      </c>
      <c r="I155" s="131">
        <v>33.6</v>
      </c>
      <c r="J155" s="131">
        <f t="shared" si="66"/>
        <v>1.5827200000000001</v>
      </c>
      <c r="K155" s="131">
        <f>(J155+L155)/2</f>
        <v>1.12636</v>
      </c>
      <c r="L155" s="131">
        <v>0.67</v>
      </c>
      <c r="M155" s="131">
        <f t="shared" si="58"/>
        <v>0.54900000000000004</v>
      </c>
      <c r="N155" s="131">
        <f t="shared" si="59"/>
        <v>0.7320000000000001</v>
      </c>
      <c r="O155" s="131">
        <v>7.0000000000000007E-2</v>
      </c>
      <c r="P155" s="131">
        <v>0.2</v>
      </c>
      <c r="Q155" s="131">
        <f t="shared" si="60"/>
        <v>0.10208955223880598</v>
      </c>
      <c r="R155" s="188">
        <f t="shared" si="64"/>
        <v>26.243436518904499</v>
      </c>
      <c r="S155" s="188">
        <f t="shared" si="61"/>
        <v>0.10021553381949332</v>
      </c>
      <c r="T155" s="188">
        <f t="shared" si="62"/>
        <v>0.77777777777777779</v>
      </c>
      <c r="U155" s="188">
        <v>62.9</v>
      </c>
      <c r="V155" s="189">
        <v>0.53</v>
      </c>
      <c r="W155" s="188">
        <v>0.68300000000000005</v>
      </c>
      <c r="X155" s="188"/>
      <c r="Y155" s="188">
        <v>0.49</v>
      </c>
      <c r="Z155" s="188">
        <f>(Y155+N155)/2</f>
        <v>0.61099999999999999</v>
      </c>
      <c r="AA155" s="188" t="s">
        <v>225</v>
      </c>
      <c r="AB155" s="188">
        <v>0.1</v>
      </c>
      <c r="AC155" s="188">
        <f t="shared" si="65"/>
        <v>2.9571389271209823</v>
      </c>
      <c r="AD155" s="188">
        <v>70.2</v>
      </c>
      <c r="AE155" s="188"/>
      <c r="AF155" s="188">
        <v>5.99</v>
      </c>
      <c r="AG155" s="188"/>
      <c r="AH155" s="188">
        <v>4.51</v>
      </c>
      <c r="AI155" s="188">
        <f t="shared" si="63"/>
        <v>0.11268108599233194</v>
      </c>
    </row>
    <row r="156" spans="4:35" ht="14">
      <c r="D156" s="164" t="s">
        <v>150</v>
      </c>
      <c r="E156" s="181">
        <v>5</v>
      </c>
      <c r="F156" s="181">
        <v>4</v>
      </c>
      <c r="G156" s="182" t="s">
        <v>3</v>
      </c>
      <c r="H156" s="131">
        <f t="shared" si="57"/>
        <v>2.166666666666667</v>
      </c>
      <c r="I156" s="131">
        <v>23.2</v>
      </c>
      <c r="J156" s="131">
        <f t="shared" si="66"/>
        <v>0.78330666666666682</v>
      </c>
      <c r="K156" s="131">
        <f>(J156+L156)/2</f>
        <v>0.76665333333333341</v>
      </c>
      <c r="L156" s="131">
        <f>3/4</f>
        <v>0.75</v>
      </c>
      <c r="M156" s="131">
        <f t="shared" si="58"/>
        <v>0.41100000000000003</v>
      </c>
      <c r="N156" s="131">
        <f t="shared" si="59"/>
        <v>0.54800000000000004</v>
      </c>
      <c r="O156" s="131">
        <v>0.59</v>
      </c>
      <c r="P156" s="131">
        <v>0.4</v>
      </c>
      <c r="Q156" s="131">
        <f t="shared" si="60"/>
        <v>0.21761194029850747</v>
      </c>
      <c r="R156" s="188">
        <f t="shared" si="64"/>
        <v>27.657808491872981</v>
      </c>
      <c r="S156" s="188">
        <f t="shared" si="61"/>
        <v>9.509068662373607E-2</v>
      </c>
      <c r="T156" s="188">
        <f t="shared" si="62"/>
        <v>0.61111111111111094</v>
      </c>
      <c r="U156" s="188">
        <v>47.3</v>
      </c>
      <c r="V156" s="188">
        <f>1-0.846</f>
        <v>0.15400000000000003</v>
      </c>
      <c r="W156" s="188">
        <f>(U156/100+V156)/2</f>
        <v>0.3135</v>
      </c>
      <c r="X156" s="188">
        <v>1.1819999999999999</v>
      </c>
      <c r="Y156" s="188">
        <f>1-0.49</f>
        <v>0.51</v>
      </c>
      <c r="Z156" s="188">
        <f>(Y156+X156+M156)/3</f>
        <v>0.70099999999999996</v>
      </c>
      <c r="AA156" s="188">
        <f>-2/136</f>
        <v>-1.4705882352941176E-2</v>
      </c>
      <c r="AB156" s="188">
        <f>AA156</f>
        <v>-1.4705882352941176E-2</v>
      </c>
      <c r="AC156" s="188">
        <f t="shared" si="65"/>
        <v>1.8422456586558063</v>
      </c>
      <c r="AD156" s="188" t="s">
        <v>223</v>
      </c>
      <c r="AE156" s="188">
        <v>2</v>
      </c>
      <c r="AF156" s="188">
        <v>5.1829999999999998</v>
      </c>
      <c r="AG156" s="188"/>
      <c r="AH156" s="188">
        <v>5.89</v>
      </c>
      <c r="AI156" s="188">
        <f t="shared" si="63"/>
        <v>6.6608518863565599E-2</v>
      </c>
    </row>
    <row r="157" spans="4:35" ht="14">
      <c r="D157" s="164" t="s">
        <v>151</v>
      </c>
      <c r="E157" s="181">
        <v>1</v>
      </c>
      <c r="F157" s="181">
        <v>1</v>
      </c>
      <c r="G157" s="182" t="s">
        <v>8</v>
      </c>
      <c r="H157" s="131">
        <f t="shared" si="57"/>
        <v>1</v>
      </c>
      <c r="I157" s="131">
        <v>20.9</v>
      </c>
      <c r="J157" s="131">
        <f t="shared" si="66"/>
        <v>0.60651333333333324</v>
      </c>
      <c r="K157" s="131">
        <f>(J157+L157)/2</f>
        <v>0.67825666666666662</v>
      </c>
      <c r="L157" s="131">
        <v>0.75</v>
      </c>
      <c r="M157" s="131">
        <f t="shared" si="58"/>
        <v>0.26500000000000001</v>
      </c>
      <c r="N157" s="131">
        <f t="shared" si="59"/>
        <v>0.35333333333333333</v>
      </c>
      <c r="O157" s="131">
        <v>0.2</v>
      </c>
      <c r="P157" s="131">
        <v>0.2</v>
      </c>
      <c r="Q157" s="131">
        <f t="shared" si="60"/>
        <v>0.10597014925373135</v>
      </c>
      <c r="R157" s="188">
        <f t="shared" si="64"/>
        <v>3.1191488161180363</v>
      </c>
      <c r="S157" s="188">
        <f t="shared" si="61"/>
        <v>0.84317875005181353</v>
      </c>
      <c r="T157" s="188">
        <f t="shared" si="62"/>
        <v>1</v>
      </c>
      <c r="U157" s="188">
        <v>26</v>
      </c>
      <c r="V157" s="188">
        <f>1-0.824</f>
        <v>0.17600000000000005</v>
      </c>
      <c r="W157" s="188">
        <f>(U157/100+V157)/2</f>
        <v>0.21800000000000003</v>
      </c>
      <c r="X157" s="188">
        <v>0.434</v>
      </c>
      <c r="Y157" s="188">
        <v>0.67</v>
      </c>
      <c r="Z157" s="188">
        <f>(Y157+X157+M157)/3</f>
        <v>0.45633333333333342</v>
      </c>
      <c r="AA157" s="188">
        <f>-11/120</f>
        <v>-9.166666666666666E-2</v>
      </c>
      <c r="AB157" s="188">
        <f>AA157</f>
        <v>-9.166666666666666E-2</v>
      </c>
      <c r="AC157" s="188">
        <f t="shared" si="65"/>
        <v>1.7908075559061341</v>
      </c>
      <c r="AD157" s="188">
        <v>21</v>
      </c>
      <c r="AE157" s="188">
        <v>13.5</v>
      </c>
      <c r="AF157" s="188">
        <v>5.5</v>
      </c>
      <c r="AG157" s="188"/>
      <c r="AH157" s="188">
        <v>7.35</v>
      </c>
      <c r="AI157" s="188">
        <f t="shared" si="63"/>
        <v>0.5741334131453526</v>
      </c>
    </row>
    <row r="158" spans="4:35" ht="14">
      <c r="D158" s="164" t="s">
        <v>152</v>
      </c>
      <c r="E158" s="181">
        <v>1</v>
      </c>
      <c r="F158" s="181">
        <v>1</v>
      </c>
      <c r="G158" s="182" t="s">
        <v>8</v>
      </c>
      <c r="H158" s="131">
        <f t="shared" si="57"/>
        <v>1</v>
      </c>
      <c r="I158" s="131">
        <v>24.6</v>
      </c>
      <c r="J158" s="131">
        <f t="shared" si="66"/>
        <v>0.89092000000000016</v>
      </c>
      <c r="K158" s="131">
        <f>(J158+L158)/2</f>
        <v>0.82046000000000008</v>
      </c>
      <c r="L158" s="131">
        <v>0.75</v>
      </c>
      <c r="M158" s="131">
        <f t="shared" si="58"/>
        <v>0.23099999999999998</v>
      </c>
      <c r="N158" s="131">
        <f t="shared" si="59"/>
        <v>0.308</v>
      </c>
      <c r="O158" s="131">
        <v>0.14000000000000001</v>
      </c>
      <c r="P158" s="131">
        <v>0.2</v>
      </c>
      <c r="Q158" s="131">
        <f t="shared" si="60"/>
        <v>0.10417910447761194</v>
      </c>
      <c r="R158" s="188">
        <f t="shared" si="64"/>
        <v>3.4302704431793645</v>
      </c>
      <c r="S158" s="188">
        <f t="shared" si="61"/>
        <v>0.76670339658769593</v>
      </c>
      <c r="T158" s="188">
        <f t="shared" si="62"/>
        <v>1</v>
      </c>
      <c r="U158" s="188">
        <v>28.4</v>
      </c>
      <c r="V158" s="188">
        <f>1-0.828</f>
        <v>0.17200000000000004</v>
      </c>
      <c r="W158" s="188">
        <f>(U158/100+V158)/2</f>
        <v>0.22800000000000001</v>
      </c>
      <c r="X158" s="188">
        <v>0.45500000000000002</v>
      </c>
      <c r="Y158" s="188">
        <v>0.89</v>
      </c>
      <c r="Z158" s="188">
        <f>(Y158+X158+M158)/3</f>
        <v>0.52533333333333332</v>
      </c>
      <c r="AA158" s="188">
        <f>2/109</f>
        <v>1.834862385321101E-2</v>
      </c>
      <c r="AB158" s="188">
        <f>AA158</f>
        <v>1.834862385321101E-2</v>
      </c>
      <c r="AC158" s="188">
        <f t="shared" si="65"/>
        <v>2.1634019448379638</v>
      </c>
      <c r="AD158" s="188">
        <v>12.3</v>
      </c>
      <c r="AE158" s="188">
        <v>10.8</v>
      </c>
      <c r="AF158" s="188">
        <v>2</v>
      </c>
      <c r="AG158" s="188"/>
      <c r="AH158" s="188">
        <v>7.69</v>
      </c>
      <c r="AI158" s="188">
        <f t="shared" si="63"/>
        <v>0.63067970315273547</v>
      </c>
    </row>
    <row r="159" spans="4:35" ht="14">
      <c r="D159" s="164" t="s">
        <v>153</v>
      </c>
      <c r="E159" s="181">
        <v>4</v>
      </c>
      <c r="F159" s="181">
        <v>3</v>
      </c>
      <c r="G159" s="182" t="s">
        <v>3</v>
      </c>
      <c r="H159" s="131">
        <f t="shared" si="57"/>
        <v>1.8333333333333335</v>
      </c>
      <c r="I159" s="131"/>
      <c r="J159" s="131">
        <f t="shared" si="66"/>
        <v>-1</v>
      </c>
      <c r="K159" s="131">
        <v>0.67</v>
      </c>
      <c r="L159" s="131">
        <v>0.67</v>
      </c>
      <c r="M159" s="131">
        <f t="shared" si="58"/>
        <v>0.51</v>
      </c>
      <c r="N159" s="131">
        <f t="shared" si="59"/>
        <v>0.68</v>
      </c>
      <c r="O159" s="131">
        <v>0.03</v>
      </c>
      <c r="P159" s="131">
        <v>0.2</v>
      </c>
      <c r="Q159" s="131">
        <f t="shared" si="60"/>
        <v>0.10089552238805971</v>
      </c>
      <c r="R159" s="188">
        <f t="shared" si="64"/>
        <v>14.29593347401876</v>
      </c>
      <c r="S159" s="188">
        <f t="shared" si="61"/>
        <v>0.18396839945986926</v>
      </c>
      <c r="T159" s="188">
        <f t="shared" si="62"/>
        <v>0.7222222222222221</v>
      </c>
      <c r="U159" s="188"/>
      <c r="V159" s="188">
        <v>0.50600000000000001</v>
      </c>
      <c r="W159" s="188">
        <f>V159</f>
        <v>0.50600000000000001</v>
      </c>
      <c r="X159" s="188"/>
      <c r="Y159" s="188">
        <v>0.43</v>
      </c>
      <c r="Z159" s="188">
        <f>(Y159+N159)/2</f>
        <v>0.55500000000000005</v>
      </c>
      <c r="AA159" s="188" t="s">
        <v>225</v>
      </c>
      <c r="AB159" s="188">
        <v>0.1</v>
      </c>
      <c r="AC159" s="188">
        <f t="shared" si="65"/>
        <v>2.3128950309263008</v>
      </c>
      <c r="AD159" s="188" t="s">
        <v>223</v>
      </c>
      <c r="AE159" s="188"/>
      <c r="AF159" s="188">
        <v>0.55300000000000005</v>
      </c>
      <c r="AG159" s="188"/>
      <c r="AH159" s="188">
        <v>4.9000000000000004</v>
      </c>
      <c r="AI159" s="188">
        <f t="shared" si="63"/>
        <v>0.16178691899551195</v>
      </c>
    </row>
    <row r="160" spans="4:35" ht="14">
      <c r="D160" s="164" t="s">
        <v>154</v>
      </c>
      <c r="E160" s="181">
        <v>7</v>
      </c>
      <c r="F160" s="181">
        <v>7</v>
      </c>
      <c r="G160" s="182" t="s">
        <v>4</v>
      </c>
      <c r="H160" s="131">
        <f t="shared" si="57"/>
        <v>3</v>
      </c>
      <c r="I160" s="131"/>
      <c r="J160" s="131">
        <f t="shared" si="66"/>
        <v>-1</v>
      </c>
      <c r="K160" s="131">
        <v>0.75</v>
      </c>
      <c r="L160" s="131">
        <v>0.75</v>
      </c>
      <c r="M160" s="131">
        <f t="shared" si="58"/>
        <v>0.81</v>
      </c>
      <c r="N160" s="131">
        <f t="shared" si="59"/>
        <v>1.08</v>
      </c>
      <c r="O160" s="131">
        <v>0.05</v>
      </c>
      <c r="P160" s="131">
        <v>0.2</v>
      </c>
      <c r="Q160" s="131">
        <f t="shared" si="60"/>
        <v>0.10149253731343284</v>
      </c>
      <c r="R160" s="188">
        <f t="shared" si="64"/>
        <v>328.48054484026659</v>
      </c>
      <c r="S160" s="188">
        <f t="shared" si="61"/>
        <v>8.0065624625620235E-3</v>
      </c>
      <c r="T160" s="188">
        <f t="shared" si="62"/>
        <v>0.33333333333333337</v>
      </c>
      <c r="U160" s="188"/>
      <c r="V160" s="189">
        <v>0.9</v>
      </c>
      <c r="W160" s="188">
        <f>V160</f>
        <v>0.9</v>
      </c>
      <c r="X160" s="188"/>
      <c r="Y160" s="188">
        <v>0.74</v>
      </c>
      <c r="Z160" s="188">
        <f>(Y160+N160)/2</f>
        <v>0.91</v>
      </c>
      <c r="AA160" s="188" t="s">
        <v>223</v>
      </c>
      <c r="AB160" s="188">
        <v>0.3</v>
      </c>
      <c r="AC160" s="188">
        <f t="shared" si="65"/>
        <v>2.0204764164513578</v>
      </c>
      <c r="AD160" s="188" t="s">
        <v>223</v>
      </c>
      <c r="AE160" s="188"/>
      <c r="AF160" s="188">
        <v>9.33</v>
      </c>
      <c r="AG160" s="188"/>
      <c r="AH160" s="188">
        <v>1.9</v>
      </c>
      <c r="AI160" s="188">
        <f t="shared" si="63"/>
        <v>6.1509774267875569E-3</v>
      </c>
    </row>
    <row r="161" spans="4:35" ht="14">
      <c r="D161" s="164" t="s">
        <v>155</v>
      </c>
      <c r="E161" s="181">
        <v>2</v>
      </c>
      <c r="F161" s="181">
        <v>2</v>
      </c>
      <c r="G161" s="182" t="s">
        <v>8</v>
      </c>
      <c r="H161" s="131">
        <f t="shared" si="57"/>
        <v>1.3333333333333333</v>
      </c>
      <c r="I161" s="131">
        <v>44.7</v>
      </c>
      <c r="J161" s="131">
        <f t="shared" si="66"/>
        <v>2.4359400000000004</v>
      </c>
      <c r="K161" s="131">
        <f>(J161+L161)/2</f>
        <v>1.7179700000000002</v>
      </c>
      <c r="L161" s="131">
        <v>1</v>
      </c>
      <c r="M161" s="131">
        <f t="shared" si="58"/>
        <v>0.22099999999999997</v>
      </c>
      <c r="N161" s="131">
        <f t="shared" si="59"/>
        <v>0.29466666666666663</v>
      </c>
      <c r="O161" s="131">
        <v>0.67</v>
      </c>
      <c r="P161" s="131">
        <v>0.6</v>
      </c>
      <c r="Q161" s="131">
        <f t="shared" si="60"/>
        <v>0.32</v>
      </c>
      <c r="R161" s="188">
        <f t="shared" si="64"/>
        <v>22.425130385548893</v>
      </c>
      <c r="S161" s="188">
        <f t="shared" si="61"/>
        <v>0.11727913973221815</v>
      </c>
      <c r="T161" s="188">
        <f t="shared" si="62"/>
        <v>0.88888888888888895</v>
      </c>
      <c r="U161" s="188">
        <v>65</v>
      </c>
      <c r="V161" s="188">
        <v>0.40300000000000002</v>
      </c>
      <c r="W161" s="188">
        <f>(U161/100+V161)/2</f>
        <v>0.52649999999999997</v>
      </c>
      <c r="X161" s="188">
        <v>0.35599999999999998</v>
      </c>
      <c r="Y161" s="188">
        <f>1-0.34</f>
        <v>0.65999999999999992</v>
      </c>
      <c r="Z161" s="188">
        <f t="shared" ref="Z161:Z168" si="70">(Y161+X161+M161)/3</f>
        <v>0.41233333333333338</v>
      </c>
      <c r="AA161" s="188">
        <v>5.1999999999999998E-2</v>
      </c>
      <c r="AB161" s="188">
        <f>AA161</f>
        <v>5.1999999999999998E-2</v>
      </c>
      <c r="AC161" s="188">
        <f t="shared" si="65"/>
        <v>2.4126862196414698</v>
      </c>
      <c r="AD161" s="188">
        <v>50</v>
      </c>
      <c r="AE161" s="188">
        <v>23.9</v>
      </c>
      <c r="AF161" s="188">
        <v>50.58</v>
      </c>
      <c r="AG161" s="188"/>
      <c r="AH161" s="188">
        <v>7.79</v>
      </c>
      <c r="AI161" s="188">
        <f t="shared" si="63"/>
        <v>0.10758850352978294</v>
      </c>
    </row>
    <row r="162" spans="4:35" ht="14">
      <c r="D162" s="164" t="s">
        <v>156</v>
      </c>
      <c r="E162" s="181">
        <v>1</v>
      </c>
      <c r="F162" s="181">
        <v>2</v>
      </c>
      <c r="G162" s="182" t="s">
        <v>8</v>
      </c>
      <c r="H162" s="131">
        <f t="shared" si="57"/>
        <v>1.1666666666666667</v>
      </c>
      <c r="I162" s="131">
        <v>24.2</v>
      </c>
      <c r="J162" s="131">
        <f t="shared" si="66"/>
        <v>0.86017333333333323</v>
      </c>
      <c r="K162" s="131">
        <f>(J162+L162)/2</f>
        <v>0.80508666666666662</v>
      </c>
      <c r="L162" s="131">
        <v>0.75</v>
      </c>
      <c r="M162" s="131">
        <f t="shared" si="58"/>
        <v>0.18900000000000006</v>
      </c>
      <c r="N162" s="131">
        <f t="shared" si="59"/>
        <v>0.25200000000000006</v>
      </c>
      <c r="O162" s="131">
        <v>1.37</v>
      </c>
      <c r="P162" s="131">
        <v>0.6</v>
      </c>
      <c r="Q162" s="131">
        <f t="shared" si="60"/>
        <v>0.3408955223880597</v>
      </c>
      <c r="R162" s="188">
        <f t="shared" si="64"/>
        <v>5.108874985398935</v>
      </c>
      <c r="S162" s="188">
        <f t="shared" si="61"/>
        <v>0.5147904396792814</v>
      </c>
      <c r="T162" s="188">
        <f t="shared" si="62"/>
        <v>0.94444444444444442</v>
      </c>
      <c r="U162" s="188">
        <v>31</v>
      </c>
      <c r="V162" s="188">
        <f>1-0.877</f>
        <v>0.123</v>
      </c>
      <c r="W162" s="188">
        <f>(U162/100+V162)/2</f>
        <v>0.2165</v>
      </c>
      <c r="X162" s="188">
        <v>0.33300000000000002</v>
      </c>
      <c r="Y162" s="188">
        <v>0.6</v>
      </c>
      <c r="Z162" s="188">
        <f t="shared" si="70"/>
        <v>0.37400000000000005</v>
      </c>
      <c r="AA162" s="188">
        <f>-14/120</f>
        <v>-0.11666666666666667</v>
      </c>
      <c r="AB162" s="188">
        <f>AA162</f>
        <v>-0.11666666666666667</v>
      </c>
      <c r="AC162" s="188">
        <f t="shared" si="65"/>
        <v>1.564410787138433</v>
      </c>
      <c r="AD162" s="188">
        <v>15</v>
      </c>
      <c r="AE162" s="188">
        <v>3.4</v>
      </c>
      <c r="AF162" s="188">
        <v>49</v>
      </c>
      <c r="AG162" s="188"/>
      <c r="AH162" s="188">
        <v>8.11</v>
      </c>
      <c r="AI162" s="188">
        <f t="shared" si="63"/>
        <v>0.30621434104562911</v>
      </c>
    </row>
    <row r="163" spans="4:35" ht="14">
      <c r="D163" s="164" t="s">
        <v>157</v>
      </c>
      <c r="E163" s="181">
        <v>1</v>
      </c>
      <c r="F163" s="181">
        <v>1</v>
      </c>
      <c r="G163" s="182" t="s">
        <v>8</v>
      </c>
      <c r="H163" s="131">
        <f t="shared" si="57"/>
        <v>1</v>
      </c>
      <c r="I163" s="131">
        <v>26.6</v>
      </c>
      <c r="J163" s="131">
        <f t="shared" si="66"/>
        <v>1.0446533333333337</v>
      </c>
      <c r="K163" s="131">
        <f>(J163+L163)/2</f>
        <v>1.0223266666666668</v>
      </c>
      <c r="L163" s="131">
        <v>1</v>
      </c>
      <c r="M163" s="131">
        <f t="shared" si="58"/>
        <v>0.18399999999999994</v>
      </c>
      <c r="N163" s="131">
        <f t="shared" si="59"/>
        <v>0.24533333333333326</v>
      </c>
      <c r="O163" s="131">
        <v>1.63</v>
      </c>
      <c r="P163" s="131">
        <v>0.4</v>
      </c>
      <c r="Q163" s="131">
        <f t="shared" si="60"/>
        <v>0.24865671641791046</v>
      </c>
      <c r="R163" s="188">
        <f t="shared" si="64"/>
        <v>4.5554153698283875</v>
      </c>
      <c r="S163" s="188">
        <f t="shared" si="61"/>
        <v>0.57733483919361628</v>
      </c>
      <c r="T163" s="188">
        <f t="shared" si="62"/>
        <v>1</v>
      </c>
      <c r="U163" s="188">
        <v>32</v>
      </c>
      <c r="V163" s="188">
        <f>1-0.863</f>
        <v>0.13700000000000001</v>
      </c>
      <c r="W163" s="188">
        <f>(U163/100+V163)/2</f>
        <v>0.22850000000000001</v>
      </c>
      <c r="X163" s="188">
        <v>0.68200000000000005</v>
      </c>
      <c r="Y163" s="188">
        <v>0.92</v>
      </c>
      <c r="Z163" s="188">
        <f t="shared" si="70"/>
        <v>0.59533333333333338</v>
      </c>
      <c r="AA163" s="188">
        <f>-7/104</f>
        <v>-6.7307692307692304E-2</v>
      </c>
      <c r="AB163" s="188">
        <f>AA163</f>
        <v>-6.7307692307692304E-2</v>
      </c>
      <c r="AC163" s="188">
        <f t="shared" si="65"/>
        <v>2.1308599721352346</v>
      </c>
      <c r="AD163" s="188">
        <v>19.8</v>
      </c>
      <c r="AE163" s="188">
        <v>20.8</v>
      </c>
      <c r="AF163" s="188">
        <v>45</v>
      </c>
      <c r="AG163" s="188"/>
      <c r="AH163" s="188">
        <v>8.16</v>
      </c>
      <c r="AI163" s="188">
        <f t="shared" si="63"/>
        <v>0.46776414424213281</v>
      </c>
    </row>
    <row r="164" spans="4:35" ht="14">
      <c r="D164" s="164" t="s">
        <v>158</v>
      </c>
      <c r="E164" s="181">
        <v>5</v>
      </c>
      <c r="F164" s="181">
        <v>4</v>
      </c>
      <c r="G164" s="182" t="s">
        <v>3</v>
      </c>
      <c r="H164" s="131">
        <f t="shared" ref="H164:H197" si="71">1+(-2+E164+F164)/6</f>
        <v>2.166666666666667</v>
      </c>
      <c r="I164" s="131">
        <v>36.799999999999997</v>
      </c>
      <c r="J164" s="131">
        <f t="shared" si="66"/>
        <v>1.8286933333333333</v>
      </c>
      <c r="K164" s="131">
        <f>(J164+L164)/2</f>
        <v>1.2893466666666666</v>
      </c>
      <c r="L164" s="131">
        <v>0.75</v>
      </c>
      <c r="M164" s="131">
        <f t="shared" ref="M164:M197" si="72">1-AH164/10</f>
        <v>0.33600000000000008</v>
      </c>
      <c r="N164" s="131">
        <f t="shared" ref="N164:N195" si="73">4*M164/3</f>
        <v>0.44800000000000012</v>
      </c>
      <c r="O164" s="131">
        <v>0.19</v>
      </c>
      <c r="P164" s="131">
        <v>0.2</v>
      </c>
      <c r="Q164" s="131">
        <f t="shared" ref="Q164:Q195" si="74">(O164/16.75+P164)/2</f>
        <v>0.10567164179104478</v>
      </c>
      <c r="R164" s="188">
        <f t="shared" si="64"/>
        <v>54.228485601689407</v>
      </c>
      <c r="S164" s="188">
        <f t="shared" ref="S164:S195" si="75">2.63/R164</f>
        <v>4.8498496146793857E-2</v>
      </c>
      <c r="T164" s="188">
        <f t="shared" ref="T164:T197" si="76">1-(H164-1)/3</f>
        <v>0.61111111111111094</v>
      </c>
      <c r="U164" s="188">
        <v>49</v>
      </c>
      <c r="V164" s="188">
        <v>0.34200000000000003</v>
      </c>
      <c r="W164" s="188">
        <f>(U164/100+V164)/2</f>
        <v>0.41600000000000004</v>
      </c>
      <c r="X164" s="188">
        <v>0.78500000000000003</v>
      </c>
      <c r="Y164" s="188">
        <v>0.2</v>
      </c>
      <c r="Z164" s="188">
        <f t="shared" si="70"/>
        <v>0.44033333333333341</v>
      </c>
      <c r="AA164" s="188" t="s">
        <v>225</v>
      </c>
      <c r="AB164" s="188">
        <v>0.1</v>
      </c>
      <c r="AC164" s="188">
        <f t="shared" si="65"/>
        <v>1.7939608235748061</v>
      </c>
      <c r="AD164" s="188">
        <v>8.9</v>
      </c>
      <c r="AE164" s="188">
        <v>4.2</v>
      </c>
      <c r="AF164" s="188">
        <v>21</v>
      </c>
      <c r="AG164" s="188"/>
      <c r="AH164" s="188">
        <v>6.64</v>
      </c>
      <c r="AI164" s="188">
        <f t="shared" ref="AI164:AI197" si="77">AC164/R164</f>
        <v>3.3081521707088168E-2</v>
      </c>
    </row>
    <row r="165" spans="4:35" ht="14">
      <c r="D165" s="164" t="s">
        <v>190</v>
      </c>
      <c r="E165" s="181">
        <v>1</v>
      </c>
      <c r="F165" s="181">
        <v>1</v>
      </c>
      <c r="G165" s="182" t="s">
        <v>8</v>
      </c>
      <c r="H165" s="131">
        <f t="shared" si="71"/>
        <v>1</v>
      </c>
      <c r="I165" s="131"/>
      <c r="J165" s="131">
        <f t="shared" si="66"/>
        <v>-1</v>
      </c>
      <c r="K165" s="131">
        <v>0.67</v>
      </c>
      <c r="L165" s="131">
        <v>0.67</v>
      </c>
      <c r="M165" s="131">
        <f t="shared" si="72"/>
        <v>0.19000000000000006</v>
      </c>
      <c r="N165" s="131">
        <f t="shared" si="73"/>
        <v>0.25333333333333341</v>
      </c>
      <c r="O165" s="131">
        <v>0.03</v>
      </c>
      <c r="P165" s="131">
        <v>0.2</v>
      </c>
      <c r="Q165" s="131">
        <f t="shared" si="74"/>
        <v>0.10089552238805971</v>
      </c>
      <c r="R165" s="188">
        <f t="shared" ref="R165:R196" si="78">EXP(H165*(K165+N165+Q165))</f>
        <v>2.7849470363265003</v>
      </c>
      <c r="S165" s="188">
        <f t="shared" si="75"/>
        <v>0.94436266316544237</v>
      </c>
      <c r="T165" s="188">
        <f t="shared" si="76"/>
        <v>1</v>
      </c>
      <c r="U165" s="188"/>
      <c r="V165" s="189">
        <v>0.15</v>
      </c>
      <c r="W165" s="188">
        <f>V165</f>
        <v>0.15</v>
      </c>
      <c r="X165" s="188">
        <v>2</v>
      </c>
      <c r="Y165" s="188"/>
      <c r="Z165" s="188">
        <f t="shared" si="70"/>
        <v>0.73</v>
      </c>
      <c r="AA165" s="188" t="s">
        <v>223</v>
      </c>
      <c r="AB165" s="188">
        <v>0.1</v>
      </c>
      <c r="AC165" s="188">
        <f t="shared" ref="AC165:AC196" si="79">EXP(T165*(AB165+Z165+W165))</f>
        <v>2.6644562419294169</v>
      </c>
      <c r="AD165" s="188"/>
      <c r="AE165" s="188"/>
      <c r="AF165" s="188">
        <v>0.05</v>
      </c>
      <c r="AG165" s="188"/>
      <c r="AH165" s="188">
        <v>8.1</v>
      </c>
      <c r="AI165" s="188">
        <f t="shared" si="77"/>
        <v>0.95673497814306108</v>
      </c>
    </row>
    <row r="166" spans="4:35" ht="14">
      <c r="D166" s="164" t="s">
        <v>159</v>
      </c>
      <c r="E166" s="181">
        <v>1</v>
      </c>
      <c r="F166" s="181">
        <v>1</v>
      </c>
      <c r="G166" s="182" t="s">
        <v>8</v>
      </c>
      <c r="H166" s="131">
        <f t="shared" si="71"/>
        <v>1</v>
      </c>
      <c r="I166" s="131"/>
      <c r="J166" s="131">
        <f t="shared" si="66"/>
        <v>-1</v>
      </c>
      <c r="K166" s="131">
        <v>0.67</v>
      </c>
      <c r="L166" s="131">
        <v>0.67</v>
      </c>
      <c r="M166" s="131">
        <f t="shared" si="72"/>
        <v>0.19000000000000006</v>
      </c>
      <c r="N166" s="131">
        <f t="shared" si="73"/>
        <v>0.25333333333333341</v>
      </c>
      <c r="O166" s="131">
        <v>0.04</v>
      </c>
      <c r="P166" s="131">
        <v>0.2</v>
      </c>
      <c r="Q166" s="131">
        <f t="shared" si="74"/>
        <v>0.10119402985074627</v>
      </c>
      <c r="R166" s="188">
        <f t="shared" si="78"/>
        <v>2.7857784878911049</v>
      </c>
      <c r="S166" s="188">
        <f t="shared" si="75"/>
        <v>0.94408080593334154</v>
      </c>
      <c r="T166" s="188">
        <f t="shared" si="76"/>
        <v>1</v>
      </c>
      <c r="U166" s="188"/>
      <c r="V166" s="189">
        <v>0.15</v>
      </c>
      <c r="W166" s="188">
        <f>V166</f>
        <v>0.15</v>
      </c>
      <c r="X166" s="188">
        <v>0.77</v>
      </c>
      <c r="Y166" s="188"/>
      <c r="Z166" s="188">
        <f t="shared" si="70"/>
        <v>0.32</v>
      </c>
      <c r="AA166" s="188" t="s">
        <v>223</v>
      </c>
      <c r="AB166" s="188">
        <v>0.1</v>
      </c>
      <c r="AC166" s="188">
        <f t="shared" si="79"/>
        <v>1.7682670514337353</v>
      </c>
      <c r="AD166" s="188"/>
      <c r="AE166" s="188"/>
      <c r="AF166" s="188">
        <v>0.17299999999999999</v>
      </c>
      <c r="AG166" s="188"/>
      <c r="AH166" s="188">
        <v>8.1</v>
      </c>
      <c r="AI166" s="188">
        <f t="shared" si="77"/>
        <v>0.63474790229008915</v>
      </c>
    </row>
    <row r="167" spans="4:35" ht="14">
      <c r="D167" s="164" t="s">
        <v>191</v>
      </c>
      <c r="E167" s="181">
        <v>1</v>
      </c>
      <c r="F167" s="181">
        <v>1</v>
      </c>
      <c r="G167" s="182" t="s">
        <v>8</v>
      </c>
      <c r="H167" s="131">
        <f t="shared" si="71"/>
        <v>1</v>
      </c>
      <c r="I167" s="131"/>
      <c r="J167" s="131">
        <f t="shared" ref="J167:J197" si="80">1.153*I167/15-1</f>
        <v>-1</v>
      </c>
      <c r="K167" s="131">
        <v>0.67</v>
      </c>
      <c r="L167" s="131">
        <v>0.67</v>
      </c>
      <c r="M167" s="131">
        <f t="shared" si="72"/>
        <v>0.19000000000000006</v>
      </c>
      <c r="N167" s="131">
        <f t="shared" si="73"/>
        <v>0.25333333333333341</v>
      </c>
      <c r="O167" s="131">
        <v>0.03</v>
      </c>
      <c r="P167" s="131">
        <v>0.2</v>
      </c>
      <c r="Q167" s="131">
        <f t="shared" si="74"/>
        <v>0.10089552238805971</v>
      </c>
      <c r="R167" s="188">
        <f t="shared" si="78"/>
        <v>2.7849470363265003</v>
      </c>
      <c r="S167" s="188">
        <f t="shared" si="75"/>
        <v>0.94436266316544237</v>
      </c>
      <c r="T167" s="188">
        <f t="shared" si="76"/>
        <v>1</v>
      </c>
      <c r="U167" s="188"/>
      <c r="V167" s="189">
        <v>0.15</v>
      </c>
      <c r="W167" s="188">
        <f>V167</f>
        <v>0.15</v>
      </c>
      <c r="X167" s="188">
        <v>0.9</v>
      </c>
      <c r="Y167" s="188"/>
      <c r="Z167" s="188">
        <f t="shared" si="70"/>
        <v>0.36333333333333334</v>
      </c>
      <c r="AA167" s="188" t="s">
        <v>223</v>
      </c>
      <c r="AB167" s="188">
        <v>0.1</v>
      </c>
      <c r="AC167" s="188">
        <f t="shared" si="79"/>
        <v>1.846576406099953</v>
      </c>
      <c r="AD167" s="188"/>
      <c r="AE167" s="188"/>
      <c r="AF167" s="188">
        <v>0.12</v>
      </c>
      <c r="AG167" s="188"/>
      <c r="AH167" s="188">
        <v>8.1</v>
      </c>
      <c r="AI167" s="188">
        <f t="shared" si="77"/>
        <v>0.66305620251065522</v>
      </c>
    </row>
    <row r="168" spans="4:35" ht="14">
      <c r="D168" s="164" t="s">
        <v>160</v>
      </c>
      <c r="E168" s="181">
        <v>7</v>
      </c>
      <c r="F168" s="181">
        <v>7</v>
      </c>
      <c r="G168" s="182" t="s">
        <v>4</v>
      </c>
      <c r="H168" s="131">
        <f t="shared" si="71"/>
        <v>3</v>
      </c>
      <c r="I168" s="131"/>
      <c r="J168" s="131">
        <f t="shared" si="80"/>
        <v>-1</v>
      </c>
      <c r="K168" s="131">
        <v>0.75</v>
      </c>
      <c r="L168" s="131">
        <v>0.75</v>
      </c>
      <c r="M168" s="131">
        <f t="shared" si="72"/>
        <v>0.75800000000000001</v>
      </c>
      <c r="N168" s="131">
        <f t="shared" si="73"/>
        <v>1.0106666666666666</v>
      </c>
      <c r="O168" s="131">
        <v>0.1</v>
      </c>
      <c r="P168" s="131">
        <v>0.2</v>
      </c>
      <c r="Q168" s="131">
        <f t="shared" si="74"/>
        <v>0.10298507462686568</v>
      </c>
      <c r="R168" s="188">
        <f t="shared" si="78"/>
        <v>267.99148935822575</v>
      </c>
      <c r="S168" s="188">
        <f t="shared" si="75"/>
        <v>9.8137444823274359E-3</v>
      </c>
      <c r="T168" s="188">
        <f t="shared" si="76"/>
        <v>0.33333333333333337</v>
      </c>
      <c r="U168" s="188"/>
      <c r="V168" s="188">
        <v>0.621</v>
      </c>
      <c r="W168" s="188">
        <f>V168</f>
        <v>0.621</v>
      </c>
      <c r="X168" s="188">
        <v>1.008</v>
      </c>
      <c r="Y168" s="188">
        <v>1.02</v>
      </c>
      <c r="Z168" s="188">
        <f t="shared" si="70"/>
        <v>0.92866666666666664</v>
      </c>
      <c r="AA168" s="188">
        <f>-61/142</f>
        <v>-0.42957746478873238</v>
      </c>
      <c r="AB168" s="188">
        <f>AA168+1</f>
        <v>0.57042253521126762</v>
      </c>
      <c r="AC168" s="188">
        <f t="shared" si="79"/>
        <v>2.027282853440703</v>
      </c>
      <c r="AD168" s="188">
        <v>40</v>
      </c>
      <c r="AE168" s="188">
        <v>18.7</v>
      </c>
      <c r="AF168" s="188">
        <v>32</v>
      </c>
      <c r="AG168" s="188"/>
      <c r="AH168" s="188">
        <v>2.42</v>
      </c>
      <c r="AI168" s="188">
        <f t="shared" si="77"/>
        <v>7.5647284855782215E-3</v>
      </c>
    </row>
    <row r="169" spans="4:35" ht="14">
      <c r="D169" s="164" t="s">
        <v>161</v>
      </c>
      <c r="E169" s="181">
        <v>2</v>
      </c>
      <c r="F169" s="181">
        <v>2</v>
      </c>
      <c r="G169" s="182" t="s">
        <v>8</v>
      </c>
      <c r="H169" s="131">
        <f t="shared" si="71"/>
        <v>1.3333333333333333</v>
      </c>
      <c r="I169" s="131"/>
      <c r="J169" s="131">
        <f t="shared" si="80"/>
        <v>-1</v>
      </c>
      <c r="K169" s="131">
        <v>0.75</v>
      </c>
      <c r="L169" s="131">
        <v>0.75</v>
      </c>
      <c r="M169" s="131">
        <f t="shared" si="72"/>
        <v>0.33499999999999996</v>
      </c>
      <c r="N169" s="131">
        <f t="shared" si="73"/>
        <v>0.4466666666666666</v>
      </c>
      <c r="O169" s="131">
        <v>7.0000000000000007E-2</v>
      </c>
      <c r="P169" s="131">
        <v>0.2</v>
      </c>
      <c r="Q169" s="131">
        <f t="shared" si="74"/>
        <v>0.10208955223880598</v>
      </c>
      <c r="R169" s="188">
        <f t="shared" si="78"/>
        <v>5.6501096866745755</v>
      </c>
      <c r="S169" s="188">
        <f t="shared" si="75"/>
        <v>0.46547768907968062</v>
      </c>
      <c r="T169" s="188">
        <f t="shared" si="76"/>
        <v>0.88888888888888895</v>
      </c>
      <c r="U169" s="188"/>
      <c r="V169" s="188">
        <v>0.35599999999999998</v>
      </c>
      <c r="W169" s="188">
        <f>V169</f>
        <v>0.35599999999999998</v>
      </c>
      <c r="X169" s="188"/>
      <c r="Y169" s="188">
        <v>0.5</v>
      </c>
      <c r="Z169" s="188">
        <f>(Y169+N169)/2</f>
        <v>0.47333333333333327</v>
      </c>
      <c r="AA169" s="188" t="s">
        <v>225</v>
      </c>
      <c r="AB169" s="188">
        <v>0.1</v>
      </c>
      <c r="AC169" s="188">
        <f t="shared" si="79"/>
        <v>2.2843329909997325</v>
      </c>
      <c r="AD169" s="188">
        <v>70</v>
      </c>
      <c r="AE169" s="188">
        <v>9.5</v>
      </c>
      <c r="AF169" s="188">
        <v>0.52900000000000003</v>
      </c>
      <c r="AG169" s="188"/>
      <c r="AH169" s="188">
        <v>6.65</v>
      </c>
      <c r="AI169" s="188">
        <f t="shared" si="77"/>
        <v>0.40429887518594315</v>
      </c>
    </row>
    <row r="170" spans="4:35" ht="14">
      <c r="D170" s="164" t="s">
        <v>162</v>
      </c>
      <c r="E170" s="181">
        <v>7</v>
      </c>
      <c r="F170" s="181">
        <v>5</v>
      </c>
      <c r="G170" s="182" t="s">
        <v>4</v>
      </c>
      <c r="H170" s="131">
        <f t="shared" si="71"/>
        <v>2.666666666666667</v>
      </c>
      <c r="I170" s="131">
        <v>40.700000000000003</v>
      </c>
      <c r="J170" s="131">
        <f t="shared" si="80"/>
        <v>2.1284733333333334</v>
      </c>
      <c r="K170" s="131">
        <f>(J170+L170)/2</f>
        <v>1.4392366666666667</v>
      </c>
      <c r="L170" s="131">
        <v>0.75</v>
      </c>
      <c r="M170" s="131">
        <f t="shared" si="72"/>
        <v>0.71</v>
      </c>
      <c r="N170" s="131">
        <f t="shared" si="73"/>
        <v>0.94666666666666666</v>
      </c>
      <c r="O170" s="131">
        <v>0.04</v>
      </c>
      <c r="P170" s="131">
        <v>0.2</v>
      </c>
      <c r="Q170" s="131">
        <f t="shared" si="74"/>
        <v>0.10119402985074627</v>
      </c>
      <c r="R170" s="188">
        <f t="shared" si="78"/>
        <v>759.19573927665601</v>
      </c>
      <c r="S170" s="188">
        <f t="shared" si="75"/>
        <v>3.4641922549589156E-3</v>
      </c>
      <c r="T170" s="188">
        <f t="shared" si="76"/>
        <v>0.44444444444444431</v>
      </c>
      <c r="U170" s="188">
        <v>49</v>
      </c>
      <c r="V170" s="188">
        <v>0.502</v>
      </c>
      <c r="W170" s="188">
        <f>(U170/100+V170)/2</f>
        <v>0.496</v>
      </c>
      <c r="X170" s="188"/>
      <c r="Y170" s="188">
        <v>1.21</v>
      </c>
      <c r="Z170" s="188">
        <f>(Y170+N170)/2</f>
        <v>1.0783333333333334</v>
      </c>
      <c r="AA170" s="188">
        <f>4/111</f>
        <v>3.6036036036036036E-2</v>
      </c>
      <c r="AB170" s="188">
        <f>AA170</f>
        <v>3.6036036036036036E-2</v>
      </c>
      <c r="AC170" s="188">
        <f t="shared" si="79"/>
        <v>2.0456584532923534</v>
      </c>
      <c r="AD170" s="188">
        <v>69</v>
      </c>
      <c r="AE170" s="188">
        <v>40</v>
      </c>
      <c r="AF170" s="188">
        <v>1.2</v>
      </c>
      <c r="AG170" s="188"/>
      <c r="AH170" s="188">
        <v>2.9</v>
      </c>
      <c r="AI170" s="188">
        <f t="shared" si="77"/>
        <v>2.6945072890443367E-3</v>
      </c>
    </row>
    <row r="171" spans="4:35" ht="14">
      <c r="D171" s="164" t="s">
        <v>163</v>
      </c>
      <c r="E171" s="181">
        <v>1</v>
      </c>
      <c r="F171" s="181">
        <v>1</v>
      </c>
      <c r="G171" s="182" t="s">
        <v>8</v>
      </c>
      <c r="H171" s="131">
        <f t="shared" si="71"/>
        <v>1</v>
      </c>
      <c r="I171" s="131">
        <v>22.3</v>
      </c>
      <c r="J171" s="131">
        <f t="shared" si="80"/>
        <v>0.71412666666666658</v>
      </c>
      <c r="K171" s="131">
        <f>(J171+L171)/2</f>
        <v>0.85706333333333329</v>
      </c>
      <c r="L171" s="131">
        <v>1</v>
      </c>
      <c r="M171" s="131">
        <f t="shared" si="72"/>
        <v>5.0000000000000044E-2</v>
      </c>
      <c r="N171" s="131">
        <f t="shared" si="73"/>
        <v>6.6666666666666721E-2</v>
      </c>
      <c r="O171" s="131">
        <v>0.98</v>
      </c>
      <c r="P171" s="131">
        <v>0.4</v>
      </c>
      <c r="Q171" s="131">
        <f t="shared" si="74"/>
        <v>0.22925373134328358</v>
      </c>
      <c r="R171" s="188">
        <f t="shared" si="78"/>
        <v>3.1676301810022554</v>
      </c>
      <c r="S171" s="188">
        <f t="shared" si="75"/>
        <v>0.83027369033586285</v>
      </c>
      <c r="T171" s="188">
        <f t="shared" si="76"/>
        <v>1</v>
      </c>
      <c r="U171" s="188">
        <v>23</v>
      </c>
      <c r="V171" s="188">
        <f>1-0.885</f>
        <v>0.11499999999999999</v>
      </c>
      <c r="W171" s="188">
        <f>(U171/100+V171)/2</f>
        <v>0.17249999999999999</v>
      </c>
      <c r="X171" s="188">
        <v>0.36799999999999999</v>
      </c>
      <c r="Y171" s="188">
        <v>0.56000000000000005</v>
      </c>
      <c r="Z171" s="188">
        <f>(Y171+X171+M171)/3</f>
        <v>0.32600000000000001</v>
      </c>
      <c r="AA171" s="188">
        <f>4/107</f>
        <v>3.7383177570093455E-2</v>
      </c>
      <c r="AB171" s="188">
        <f>AA171</f>
        <v>3.7383177570093455E-2</v>
      </c>
      <c r="AC171" s="188">
        <f t="shared" si="79"/>
        <v>1.7089568883469988</v>
      </c>
      <c r="AD171" s="188" t="s">
        <v>223</v>
      </c>
      <c r="AE171" s="188">
        <v>7.6</v>
      </c>
      <c r="AF171" s="188">
        <v>9.5</v>
      </c>
      <c r="AG171" s="188"/>
      <c r="AH171" s="188">
        <v>9.5</v>
      </c>
      <c r="AI171" s="188">
        <f t="shared" si="77"/>
        <v>0.53950644194401365</v>
      </c>
    </row>
    <row r="172" spans="4:35" ht="14">
      <c r="D172" s="164" t="s">
        <v>164</v>
      </c>
      <c r="E172" s="181">
        <v>1</v>
      </c>
      <c r="F172" s="181">
        <v>1</v>
      </c>
      <c r="G172" s="182" t="s">
        <v>8</v>
      </c>
      <c r="H172" s="131">
        <f t="shared" si="71"/>
        <v>1</v>
      </c>
      <c r="I172" s="131">
        <v>19</v>
      </c>
      <c r="J172" s="131">
        <f t="shared" si="80"/>
        <v>0.46046666666666658</v>
      </c>
      <c r="K172" s="131">
        <f>(J172+L172)/2</f>
        <v>0.60523333333333329</v>
      </c>
      <c r="L172" s="131">
        <v>0.75</v>
      </c>
      <c r="M172" s="131">
        <f t="shared" si="72"/>
        <v>9.099999999999997E-2</v>
      </c>
      <c r="N172" s="131">
        <f t="shared" si="73"/>
        <v>0.12133333333333329</v>
      </c>
      <c r="O172" s="131">
        <v>1.4</v>
      </c>
      <c r="P172" s="131">
        <v>0.4</v>
      </c>
      <c r="Q172" s="131">
        <f t="shared" si="74"/>
        <v>0.2417910447761194</v>
      </c>
      <c r="R172" s="188">
        <f t="shared" si="78"/>
        <v>2.6336157488227934</v>
      </c>
      <c r="S172" s="188">
        <f t="shared" si="75"/>
        <v>0.99862707806770612</v>
      </c>
      <c r="T172" s="188">
        <f t="shared" si="76"/>
        <v>1</v>
      </c>
      <c r="U172" s="188">
        <v>33.700000000000003</v>
      </c>
      <c r="V172" s="188">
        <v>0.126</v>
      </c>
      <c r="W172" s="188">
        <f>(U172/100+V172)/2</f>
        <v>0.23150000000000001</v>
      </c>
      <c r="X172" s="188">
        <v>0.52400000000000002</v>
      </c>
      <c r="Y172" s="188">
        <f>1-0.21</f>
        <v>0.79</v>
      </c>
      <c r="Z172" s="188">
        <f>(Y172+X172+M172)/3</f>
        <v>0.46833333333333332</v>
      </c>
      <c r="AA172" s="188">
        <f>-7/110</f>
        <v>-6.363636363636363E-2</v>
      </c>
      <c r="AB172" s="188">
        <f>AA172</f>
        <v>-6.363636363636363E-2</v>
      </c>
      <c r="AC172" s="188">
        <f t="shared" si="79"/>
        <v>1.889282202121799</v>
      </c>
      <c r="AD172" s="188">
        <v>6.9</v>
      </c>
      <c r="AE172" s="188">
        <v>3.1</v>
      </c>
      <c r="AF172" s="188">
        <v>7.8</v>
      </c>
      <c r="AG172" s="188"/>
      <c r="AH172" s="188">
        <v>9.09</v>
      </c>
      <c r="AI172" s="188">
        <f t="shared" si="77"/>
        <v>0.71737200195825612</v>
      </c>
    </row>
    <row r="173" spans="4:35" ht="14">
      <c r="D173" s="164" t="s">
        <v>165</v>
      </c>
      <c r="E173" s="181">
        <v>7</v>
      </c>
      <c r="F173" s="181">
        <v>6</v>
      </c>
      <c r="G173" s="182" t="s">
        <v>4</v>
      </c>
      <c r="H173" s="131">
        <f t="shared" si="71"/>
        <v>2.833333333333333</v>
      </c>
      <c r="I173" s="131"/>
      <c r="J173" s="131">
        <f t="shared" si="80"/>
        <v>-1</v>
      </c>
      <c r="K173" s="131">
        <v>1</v>
      </c>
      <c r="L173" s="131">
        <v>1</v>
      </c>
      <c r="M173" s="131">
        <f t="shared" si="72"/>
        <v>0.76900000000000002</v>
      </c>
      <c r="N173" s="131">
        <f t="shared" si="73"/>
        <v>1.0253333333333334</v>
      </c>
      <c r="O173" s="131">
        <v>0.15</v>
      </c>
      <c r="P173" s="131">
        <v>0.4</v>
      </c>
      <c r="Q173" s="131">
        <f t="shared" si="74"/>
        <v>0.20447761194029851</v>
      </c>
      <c r="R173" s="188">
        <f t="shared" si="78"/>
        <v>554.35078831781925</v>
      </c>
      <c r="S173" s="188">
        <f t="shared" si="75"/>
        <v>4.7442883737583387E-3</v>
      </c>
      <c r="T173" s="188">
        <f t="shared" si="76"/>
        <v>0.38888888888888895</v>
      </c>
      <c r="U173" s="188"/>
      <c r="V173" s="188">
        <v>0.41099999999999998</v>
      </c>
      <c r="W173" s="188">
        <f>V173</f>
        <v>0.41099999999999998</v>
      </c>
      <c r="X173" s="188">
        <v>0.34399999999999997</v>
      </c>
      <c r="Y173" s="188">
        <v>1.2</v>
      </c>
      <c r="Z173" s="188">
        <f>(Y173+X173+M173)/3</f>
        <v>0.77100000000000002</v>
      </c>
      <c r="AA173" s="188">
        <f>29/127</f>
        <v>0.2283464566929134</v>
      </c>
      <c r="AB173" s="188">
        <f>(AA173+1)/2</f>
        <v>0.61417322834645671</v>
      </c>
      <c r="AC173" s="188">
        <f t="shared" si="79"/>
        <v>2.0107580917198251</v>
      </c>
      <c r="AD173" s="188">
        <v>11.9</v>
      </c>
      <c r="AE173" s="188">
        <v>8.1</v>
      </c>
      <c r="AF173" s="188">
        <v>21</v>
      </c>
      <c r="AG173" s="188"/>
      <c r="AH173" s="188">
        <v>2.31</v>
      </c>
      <c r="AI173" s="188">
        <f t="shared" si="77"/>
        <v>3.6272305083600268E-3</v>
      </c>
    </row>
    <row r="174" spans="4:35" ht="14">
      <c r="D174" s="164" t="s">
        <v>166</v>
      </c>
      <c r="E174" s="181">
        <v>1</v>
      </c>
      <c r="F174" s="181">
        <v>2</v>
      </c>
      <c r="G174" s="182" t="s">
        <v>8</v>
      </c>
      <c r="H174" s="131">
        <f t="shared" si="71"/>
        <v>1.1666666666666667</v>
      </c>
      <c r="I174" s="131">
        <v>40.299999999999997</v>
      </c>
      <c r="J174" s="131">
        <f t="shared" si="80"/>
        <v>2.0977266666666665</v>
      </c>
      <c r="K174" s="131">
        <f>(J174+L174)/2</f>
        <v>1.4238633333333333</v>
      </c>
      <c r="L174" s="131">
        <v>0.75</v>
      </c>
      <c r="M174" s="131">
        <f t="shared" si="72"/>
        <v>0.248</v>
      </c>
      <c r="N174" s="131">
        <f t="shared" si="73"/>
        <v>0.33066666666666666</v>
      </c>
      <c r="O174" s="131">
        <v>0.06</v>
      </c>
      <c r="P174" s="131">
        <v>0.2</v>
      </c>
      <c r="Q174" s="131">
        <f t="shared" si="74"/>
        <v>0.1017910447761194</v>
      </c>
      <c r="R174" s="188">
        <f t="shared" si="78"/>
        <v>8.7207730417825733</v>
      </c>
      <c r="S174" s="188">
        <f t="shared" si="75"/>
        <v>0.30157876915260412</v>
      </c>
      <c r="T174" s="188">
        <f t="shared" si="76"/>
        <v>0.94444444444444442</v>
      </c>
      <c r="U174" s="188">
        <v>32.6</v>
      </c>
      <c r="V174" s="189">
        <v>0.4</v>
      </c>
      <c r="W174" s="188">
        <f>(U174/100+V174)/2</f>
        <v>0.36299999999999999</v>
      </c>
      <c r="X174" s="188">
        <v>0.34899999999999998</v>
      </c>
      <c r="Y174" s="188">
        <v>0.48</v>
      </c>
      <c r="Z174" s="188">
        <f>(Y174+X174+M174)/3</f>
        <v>0.35899999999999999</v>
      </c>
      <c r="AA174" s="188">
        <f>-25/122</f>
        <v>-0.20491803278688525</v>
      </c>
      <c r="AB174" s="188">
        <f>AA174</f>
        <v>-0.20491803278688525</v>
      </c>
      <c r="AC174" s="188">
        <f t="shared" si="79"/>
        <v>1.6296335787858049</v>
      </c>
      <c r="AD174" s="188">
        <v>1.1599999999999999</v>
      </c>
      <c r="AE174" s="188">
        <v>4.3</v>
      </c>
      <c r="AF174" s="188">
        <v>23</v>
      </c>
      <c r="AG174" s="188"/>
      <c r="AH174" s="188">
        <v>7.52</v>
      </c>
      <c r="AI174" s="188">
        <f t="shared" si="77"/>
        <v>0.18686801857793778</v>
      </c>
    </row>
    <row r="175" spans="4:35" ht="14">
      <c r="D175" s="164" t="s">
        <v>167</v>
      </c>
      <c r="E175" s="181">
        <v>6</v>
      </c>
      <c r="F175" s="181">
        <v>5</v>
      </c>
      <c r="G175" s="182" t="s">
        <v>4</v>
      </c>
      <c r="H175" s="131">
        <f t="shared" si="71"/>
        <v>2.5</v>
      </c>
      <c r="I175" s="131">
        <v>25.6</v>
      </c>
      <c r="J175" s="131">
        <f t="shared" si="80"/>
        <v>0.96778666666666679</v>
      </c>
      <c r="K175" s="131">
        <f>(J175+L175)/2</f>
        <v>0.8588933333333334</v>
      </c>
      <c r="L175" s="131">
        <v>0.75</v>
      </c>
      <c r="M175" s="131">
        <f t="shared" si="72"/>
        <v>0.749</v>
      </c>
      <c r="N175" s="131">
        <f t="shared" si="73"/>
        <v>0.9986666666666667</v>
      </c>
      <c r="O175" s="131">
        <v>0.14000000000000001</v>
      </c>
      <c r="P175" s="131">
        <v>0.2</v>
      </c>
      <c r="Q175" s="131">
        <f t="shared" si="74"/>
        <v>0.10417910447761194</v>
      </c>
      <c r="R175" s="188">
        <f t="shared" si="78"/>
        <v>134.87491066095134</v>
      </c>
      <c r="S175" s="188">
        <f t="shared" si="75"/>
        <v>1.9499549524160917E-2</v>
      </c>
      <c r="T175" s="188">
        <f t="shared" si="76"/>
        <v>0.5</v>
      </c>
      <c r="U175" s="188">
        <v>32.6</v>
      </c>
      <c r="V175" s="188">
        <v>0.42</v>
      </c>
      <c r="W175" s="188">
        <f>(U175/100+V175)/2</f>
        <v>0.373</v>
      </c>
      <c r="X175" s="188"/>
      <c r="Y175" s="188">
        <v>0.4</v>
      </c>
      <c r="Z175" s="188">
        <f>(Y175+N175)/2</f>
        <v>0.69933333333333336</v>
      </c>
      <c r="AA175" s="188">
        <f>-7/138</f>
        <v>-5.0724637681159424E-2</v>
      </c>
      <c r="AB175" s="188">
        <f>AA175</f>
        <v>-5.0724637681159424E-2</v>
      </c>
      <c r="AC175" s="188">
        <f t="shared" si="79"/>
        <v>1.6666312071440459</v>
      </c>
      <c r="AD175" s="188">
        <v>53</v>
      </c>
      <c r="AE175" s="188">
        <v>2.2000000000000002</v>
      </c>
      <c r="AF175" s="188">
        <v>7.6</v>
      </c>
      <c r="AG175" s="188"/>
      <c r="AH175" s="188">
        <v>2.5099999999999998</v>
      </c>
      <c r="AI175" s="188">
        <f t="shared" si="77"/>
        <v>1.2356866069284189E-2</v>
      </c>
    </row>
    <row r="176" spans="4:35" ht="14">
      <c r="D176" s="164" t="s">
        <v>168</v>
      </c>
      <c r="E176" s="181">
        <v>3</v>
      </c>
      <c r="F176" s="181">
        <v>3</v>
      </c>
      <c r="G176" s="182" t="s">
        <v>3</v>
      </c>
      <c r="H176" s="131">
        <f t="shared" si="71"/>
        <v>1.6666666666666665</v>
      </c>
      <c r="I176" s="131">
        <v>29.6</v>
      </c>
      <c r="J176" s="131">
        <f t="shared" si="80"/>
        <v>1.2752533333333336</v>
      </c>
      <c r="K176" s="131">
        <f>(J176+L176)/2</f>
        <v>1.0126266666666668</v>
      </c>
      <c r="L176" s="131">
        <v>0.75</v>
      </c>
      <c r="M176" s="131">
        <f t="shared" si="72"/>
        <v>0.43600000000000005</v>
      </c>
      <c r="N176" s="131">
        <f t="shared" si="73"/>
        <v>0.58133333333333337</v>
      </c>
      <c r="O176" s="131">
        <v>0.1</v>
      </c>
      <c r="P176" s="131">
        <v>0.2</v>
      </c>
      <c r="Q176" s="131">
        <f t="shared" si="74"/>
        <v>0.10298507462686568</v>
      </c>
      <c r="R176" s="188">
        <f t="shared" si="78"/>
        <v>16.915693339966239</v>
      </c>
      <c r="S176" s="188">
        <f t="shared" si="75"/>
        <v>0.15547692590206585</v>
      </c>
      <c r="T176" s="188">
        <f t="shared" si="76"/>
        <v>0.77777777777777779</v>
      </c>
      <c r="U176" s="188">
        <v>37.6</v>
      </c>
      <c r="V176" s="188">
        <v>0.60199999999999998</v>
      </c>
      <c r="W176" s="188">
        <f>(U176/100+V176)/2</f>
        <v>0.48899999999999999</v>
      </c>
      <c r="X176" s="188">
        <v>0.36899999999999999</v>
      </c>
      <c r="Y176" s="188">
        <v>0.39</v>
      </c>
      <c r="Z176" s="188">
        <f>(Y176+X176+M176)/3</f>
        <v>0.39833333333333337</v>
      </c>
      <c r="AA176" s="188">
        <f>9/139</f>
        <v>6.4748201438848921E-2</v>
      </c>
      <c r="AB176" s="188">
        <f>AA176</f>
        <v>6.4748201438848921E-2</v>
      </c>
      <c r="AC176" s="188">
        <f t="shared" si="79"/>
        <v>2.0970002274376571</v>
      </c>
      <c r="AD176" s="188">
        <v>36</v>
      </c>
      <c r="AE176" s="188"/>
      <c r="AF176" s="188">
        <v>43</v>
      </c>
      <c r="AG176" s="188"/>
      <c r="AH176" s="188">
        <v>5.64</v>
      </c>
      <c r="AI176" s="188">
        <f t="shared" si="77"/>
        <v>0.12396773725396953</v>
      </c>
    </row>
    <row r="177" spans="4:35" ht="14">
      <c r="D177" s="164" t="s">
        <v>169</v>
      </c>
      <c r="E177" s="181">
        <v>5</v>
      </c>
      <c r="F177" s="181">
        <v>4</v>
      </c>
      <c r="G177" s="182" t="s">
        <v>3</v>
      </c>
      <c r="H177" s="131">
        <f t="shared" si="71"/>
        <v>2.166666666666667</v>
      </c>
      <c r="I177" s="131">
        <v>36</v>
      </c>
      <c r="J177" s="131">
        <f t="shared" si="80"/>
        <v>1.7672000000000003</v>
      </c>
      <c r="K177" s="131">
        <f>(J177+L177)/2</f>
        <v>1.2186000000000001</v>
      </c>
      <c r="L177" s="131">
        <v>0.67</v>
      </c>
      <c r="M177" s="131">
        <f t="shared" si="72"/>
        <v>0.34499999999999997</v>
      </c>
      <c r="N177" s="131">
        <f t="shared" si="73"/>
        <v>0.45999999999999996</v>
      </c>
      <c r="O177" s="131">
        <v>0.6</v>
      </c>
      <c r="P177" s="131">
        <v>0.4</v>
      </c>
      <c r="Q177" s="131">
        <f t="shared" si="74"/>
        <v>0.21791044776119403</v>
      </c>
      <c r="R177" s="188">
        <f t="shared" si="78"/>
        <v>60.892253734584877</v>
      </c>
      <c r="S177" s="188">
        <f t="shared" si="75"/>
        <v>4.3191043830690785E-2</v>
      </c>
      <c r="T177" s="188">
        <f t="shared" si="76"/>
        <v>0.61111111111111094</v>
      </c>
      <c r="U177" s="188">
        <v>53.6</v>
      </c>
      <c r="V177" s="188">
        <v>0.34599999999999997</v>
      </c>
      <c r="W177" s="188">
        <f>(U177/100+V177)/2</f>
        <v>0.441</v>
      </c>
      <c r="X177" s="188">
        <v>0.40500000000000003</v>
      </c>
      <c r="Y177" s="188">
        <v>0.99</v>
      </c>
      <c r="Z177" s="188">
        <f>(Y177+X177+M177)/3</f>
        <v>0.57999999999999996</v>
      </c>
      <c r="AA177" s="188">
        <f>-12/119</f>
        <v>-0.10084033613445378</v>
      </c>
      <c r="AB177" s="188">
        <f>AA177</f>
        <v>-0.10084033613445378</v>
      </c>
      <c r="AC177" s="188">
        <f t="shared" si="79"/>
        <v>1.75473841510172</v>
      </c>
      <c r="AD177" s="188">
        <v>8.1</v>
      </c>
      <c r="AE177" s="188">
        <v>0.7</v>
      </c>
      <c r="AF177" s="188">
        <v>66.7</v>
      </c>
      <c r="AG177" s="188"/>
      <c r="AH177" s="188">
        <v>6.55</v>
      </c>
      <c r="AI177" s="188">
        <f t="shared" si="77"/>
        <v>2.8817104105724436E-2</v>
      </c>
    </row>
    <row r="178" spans="4:35" ht="14">
      <c r="D178" s="164" t="s">
        <v>170</v>
      </c>
      <c r="E178" s="181">
        <v>5</v>
      </c>
      <c r="F178" s="181">
        <v>4</v>
      </c>
      <c r="G178" s="182" t="s">
        <v>3</v>
      </c>
      <c r="H178" s="131">
        <f t="shared" si="71"/>
        <v>2.166666666666667</v>
      </c>
      <c r="I178" s="131">
        <v>27.1</v>
      </c>
      <c r="J178" s="131">
        <f t="shared" si="80"/>
        <v>1.083086666666667</v>
      </c>
      <c r="K178" s="131">
        <f>(J178+L178)/2</f>
        <v>0.91654333333333349</v>
      </c>
      <c r="L178" s="131">
        <v>0.75</v>
      </c>
      <c r="M178" s="131">
        <f t="shared" si="72"/>
        <v>0.65500000000000003</v>
      </c>
      <c r="N178" s="131">
        <f t="shared" si="73"/>
        <v>0.87333333333333341</v>
      </c>
      <c r="O178" s="131">
        <v>0.06</v>
      </c>
      <c r="P178" s="131">
        <v>0.2</v>
      </c>
      <c r="Q178" s="131">
        <f t="shared" si="74"/>
        <v>0.1017910447761194</v>
      </c>
      <c r="R178" s="188">
        <f t="shared" si="78"/>
        <v>60.256676215785461</v>
      </c>
      <c r="S178" s="188">
        <f t="shared" si="75"/>
        <v>4.3646615863472037E-2</v>
      </c>
      <c r="T178" s="188">
        <f t="shared" si="76"/>
        <v>0.61111111111111094</v>
      </c>
      <c r="U178" s="188"/>
      <c r="V178" s="188">
        <v>0.32700000000000001</v>
      </c>
      <c r="W178" s="188">
        <f>V178</f>
        <v>0.32700000000000001</v>
      </c>
      <c r="X178" s="188"/>
      <c r="Y178" s="188">
        <v>0.62</v>
      </c>
      <c r="Z178" s="188">
        <f>(Y178+N178)/2</f>
        <v>0.7466666666666667</v>
      </c>
      <c r="AA178" s="188" t="s">
        <v>225</v>
      </c>
      <c r="AB178" s="188">
        <v>0.1</v>
      </c>
      <c r="AC178" s="188">
        <f t="shared" si="79"/>
        <v>2.0487723103223128</v>
      </c>
      <c r="AD178" s="188">
        <v>32</v>
      </c>
      <c r="AE178" s="188"/>
      <c r="AF178" s="188">
        <v>6.1</v>
      </c>
      <c r="AG178" s="188"/>
      <c r="AH178" s="188">
        <v>3.45</v>
      </c>
      <c r="AI178" s="188">
        <f t="shared" si="77"/>
        <v>3.4000752098994717E-2</v>
      </c>
    </row>
    <row r="179" spans="4:35" ht="14">
      <c r="D179" s="164" t="s">
        <v>171</v>
      </c>
      <c r="E179" s="181">
        <v>3</v>
      </c>
      <c r="F179" s="181">
        <v>3</v>
      </c>
      <c r="G179" s="182" t="s">
        <v>3</v>
      </c>
      <c r="H179" s="131">
        <f t="shared" si="71"/>
        <v>1.6666666666666665</v>
      </c>
      <c r="I179" s="131"/>
      <c r="J179" s="131">
        <f t="shared" si="80"/>
        <v>-1</v>
      </c>
      <c r="K179" s="131">
        <v>0.75</v>
      </c>
      <c r="L179" s="131">
        <v>0.75</v>
      </c>
      <c r="M179" s="131">
        <f t="shared" si="72"/>
        <v>0.51</v>
      </c>
      <c r="N179" s="131">
        <f t="shared" si="73"/>
        <v>0.68</v>
      </c>
      <c r="O179" s="131">
        <v>0.03</v>
      </c>
      <c r="P179" s="131">
        <v>0.2</v>
      </c>
      <c r="Q179" s="131">
        <f t="shared" si="74"/>
        <v>0.10089552238805971</v>
      </c>
      <c r="R179" s="188">
        <f t="shared" si="78"/>
        <v>12.826233135020599</v>
      </c>
      <c r="S179" s="188">
        <f t="shared" si="75"/>
        <v>0.20504851052637413</v>
      </c>
      <c r="T179" s="188">
        <f t="shared" si="76"/>
        <v>0.77777777777777779</v>
      </c>
      <c r="U179" s="188"/>
      <c r="V179" s="189">
        <v>0.43</v>
      </c>
      <c r="W179" s="188">
        <f>V179</f>
        <v>0.43</v>
      </c>
      <c r="X179" s="188"/>
      <c r="Y179" s="188">
        <v>0.86</v>
      </c>
      <c r="Z179" s="188">
        <f>(Y179+N179)/2</f>
        <v>0.77</v>
      </c>
      <c r="AA179" s="188" t="s">
        <v>225</v>
      </c>
      <c r="AB179" s="188">
        <v>0.1</v>
      </c>
      <c r="AC179" s="188">
        <f t="shared" si="79"/>
        <v>2.7486533782547049</v>
      </c>
      <c r="AD179" s="188">
        <v>24</v>
      </c>
      <c r="AE179" s="188">
        <v>13</v>
      </c>
      <c r="AF179" s="188">
        <v>0.1</v>
      </c>
      <c r="AG179" s="188"/>
      <c r="AH179" s="188">
        <v>4.9000000000000004</v>
      </c>
      <c r="AI179" s="188">
        <f t="shared" si="77"/>
        <v>0.2142993464503474</v>
      </c>
    </row>
    <row r="180" spans="4:35" ht="14">
      <c r="D180" s="164" t="s">
        <v>192</v>
      </c>
      <c r="E180" s="181">
        <v>2</v>
      </c>
      <c r="F180" s="181">
        <v>2</v>
      </c>
      <c r="G180" s="182" t="s">
        <v>8</v>
      </c>
      <c r="H180" s="131">
        <f t="shared" si="71"/>
        <v>1.3333333333333333</v>
      </c>
      <c r="I180" s="131"/>
      <c r="J180" s="131">
        <f t="shared" si="80"/>
        <v>-1</v>
      </c>
      <c r="K180" s="131">
        <v>0.75</v>
      </c>
      <c r="L180" s="131">
        <v>0.75</v>
      </c>
      <c r="M180" s="131">
        <f t="shared" si="72"/>
        <v>0.28400000000000003</v>
      </c>
      <c r="N180" s="131">
        <f t="shared" si="73"/>
        <v>0.37866666666666671</v>
      </c>
      <c r="O180" s="131">
        <v>0.16</v>
      </c>
      <c r="P180" s="131">
        <v>0.2</v>
      </c>
      <c r="Q180" s="131">
        <f t="shared" si="74"/>
        <v>0.10477611940298508</v>
      </c>
      <c r="R180" s="188">
        <f t="shared" si="78"/>
        <v>5.178888103654276</v>
      </c>
      <c r="S180" s="188">
        <f t="shared" si="75"/>
        <v>0.50783101456550972</v>
      </c>
      <c r="T180" s="188">
        <f t="shared" si="76"/>
        <v>0.88888888888888895</v>
      </c>
      <c r="U180" s="188"/>
      <c r="V180" s="188">
        <f>1-0.736</f>
        <v>0.26400000000000001</v>
      </c>
      <c r="W180" s="188">
        <f>V180</f>
        <v>0.26400000000000001</v>
      </c>
      <c r="X180" s="188">
        <v>0.317</v>
      </c>
      <c r="Y180" s="188">
        <v>1.1399999999999999</v>
      </c>
      <c r="Z180" s="188">
        <f>(Y180+X180+M180)/3</f>
        <v>0.58033333333333326</v>
      </c>
      <c r="AA180" s="188" t="s">
        <v>223</v>
      </c>
      <c r="AB180" s="188">
        <v>0.1</v>
      </c>
      <c r="AC180" s="188">
        <f t="shared" si="79"/>
        <v>2.3149947215032389</v>
      </c>
      <c r="AD180" s="188">
        <v>17</v>
      </c>
      <c r="AE180" s="188">
        <v>6.2</v>
      </c>
      <c r="AF180" s="188">
        <v>1.33</v>
      </c>
      <c r="AG180" s="188"/>
      <c r="AH180" s="188">
        <v>7.16</v>
      </c>
      <c r="AI180" s="188">
        <f t="shared" si="77"/>
        <v>0.44700612856836108</v>
      </c>
    </row>
    <row r="181" spans="4:35" ht="14">
      <c r="D181" s="164" t="s">
        <v>172</v>
      </c>
      <c r="E181" s="181">
        <v>5</v>
      </c>
      <c r="F181" s="181">
        <v>5</v>
      </c>
      <c r="G181" s="182" t="s">
        <v>4</v>
      </c>
      <c r="H181" s="131">
        <f t="shared" si="71"/>
        <v>2.333333333333333</v>
      </c>
      <c r="I181" s="131">
        <v>31.5</v>
      </c>
      <c r="J181" s="131">
        <f t="shared" si="80"/>
        <v>1.4213</v>
      </c>
      <c r="K181" s="131">
        <f>(J181+L181)/2</f>
        <v>1.08565</v>
      </c>
      <c r="L181" s="131">
        <v>0.75</v>
      </c>
      <c r="M181" s="131">
        <f t="shared" si="72"/>
        <v>0.72099999999999997</v>
      </c>
      <c r="N181" s="131">
        <f t="shared" si="73"/>
        <v>0.96133333333333326</v>
      </c>
      <c r="O181" s="131">
        <v>0.14000000000000001</v>
      </c>
      <c r="P181" s="131">
        <v>0.2</v>
      </c>
      <c r="Q181" s="131">
        <f t="shared" si="74"/>
        <v>0.10417910447761194</v>
      </c>
      <c r="R181" s="188">
        <f t="shared" si="78"/>
        <v>151.31730982578793</v>
      </c>
      <c r="S181" s="188">
        <f t="shared" si="75"/>
        <v>1.7380694931914444E-2</v>
      </c>
      <c r="T181" s="188">
        <f t="shared" si="76"/>
        <v>0.55555555555555558</v>
      </c>
      <c r="U181" s="188">
        <v>40</v>
      </c>
      <c r="V181" s="188">
        <v>0.317</v>
      </c>
      <c r="W181" s="188">
        <f>(U181/100+V181)/2</f>
        <v>0.35850000000000004</v>
      </c>
      <c r="X181" s="188">
        <v>0.51800000000000002</v>
      </c>
      <c r="Y181" s="188">
        <v>1</v>
      </c>
      <c r="Z181" s="188">
        <f>(Y181+X181+M181)/3</f>
        <v>0.74633333333333329</v>
      </c>
      <c r="AA181" s="188">
        <f>27/126</f>
        <v>0.21428571428571427</v>
      </c>
      <c r="AB181" s="188">
        <f>AA181</f>
        <v>0.21428571428571427</v>
      </c>
      <c r="AC181" s="188">
        <f t="shared" si="79"/>
        <v>2.0809903606896869</v>
      </c>
      <c r="AD181" s="188">
        <v>3.8</v>
      </c>
      <c r="AE181" s="188">
        <v>16</v>
      </c>
      <c r="AF181" s="188">
        <v>10.67</v>
      </c>
      <c r="AG181" s="188"/>
      <c r="AH181" s="188">
        <v>2.79</v>
      </c>
      <c r="AI181" s="188">
        <f t="shared" si="77"/>
        <v>1.3752493770114848E-2</v>
      </c>
    </row>
    <row r="182" spans="4:35" ht="14">
      <c r="D182" s="164" t="s">
        <v>173</v>
      </c>
      <c r="E182" s="181">
        <v>3</v>
      </c>
      <c r="F182" s="181">
        <v>3</v>
      </c>
      <c r="G182" s="182" t="s">
        <v>3</v>
      </c>
      <c r="H182" s="131">
        <f t="shared" si="71"/>
        <v>1.6666666666666665</v>
      </c>
      <c r="I182" s="131">
        <v>30.3</v>
      </c>
      <c r="J182" s="131">
        <f t="shared" si="80"/>
        <v>1.3290600000000001</v>
      </c>
      <c r="K182" s="131">
        <f>(J182+L182)/2</f>
        <v>1.1645300000000001</v>
      </c>
      <c r="L182" s="131">
        <v>1</v>
      </c>
      <c r="M182" s="131">
        <f t="shared" si="72"/>
        <v>0.42699999999999994</v>
      </c>
      <c r="N182" s="131">
        <f t="shared" si="73"/>
        <v>0.56933333333333325</v>
      </c>
      <c r="O182" s="131">
        <v>0.61</v>
      </c>
      <c r="P182" s="131">
        <v>0.6</v>
      </c>
      <c r="Q182" s="131">
        <f t="shared" si="74"/>
        <v>0.3182089552238806</v>
      </c>
      <c r="R182" s="188">
        <f t="shared" si="78"/>
        <v>30.573098274437882</v>
      </c>
      <c r="S182" s="188">
        <f t="shared" si="75"/>
        <v>8.6023339093471554E-2</v>
      </c>
      <c r="T182" s="188">
        <f t="shared" si="76"/>
        <v>0.77777777777777779</v>
      </c>
      <c r="U182" s="188">
        <v>40.200000000000003</v>
      </c>
      <c r="V182" s="188">
        <f>1-0.679</f>
        <v>0.32099999999999995</v>
      </c>
      <c r="W182" s="188">
        <f>(U182/100+V182)/2</f>
        <v>0.36149999999999999</v>
      </c>
      <c r="X182" s="188">
        <v>0.42399999999999999</v>
      </c>
      <c r="Y182" s="188">
        <f>1-0.46</f>
        <v>0.54</v>
      </c>
      <c r="Z182" s="188">
        <f>(Y182+X182+M182)/3</f>
        <v>0.46366666666666667</v>
      </c>
      <c r="AA182" s="188">
        <f>-4/117</f>
        <v>-3.4188034188034191E-2</v>
      </c>
      <c r="AB182" s="188">
        <f>AA182</f>
        <v>-3.4188034188034191E-2</v>
      </c>
      <c r="AC182" s="188">
        <f t="shared" si="79"/>
        <v>1.8500369336737703</v>
      </c>
      <c r="AD182" s="188">
        <v>16.899999999999999</v>
      </c>
      <c r="AE182" s="188">
        <v>10.3</v>
      </c>
      <c r="AF182" s="188">
        <v>74.72</v>
      </c>
      <c r="AG182" s="188"/>
      <c r="AH182" s="188">
        <v>5.73</v>
      </c>
      <c r="AI182" s="188">
        <f t="shared" si="77"/>
        <v>6.0511921855842241E-2</v>
      </c>
    </row>
    <row r="183" spans="4:35" ht="14">
      <c r="D183" s="164" t="s">
        <v>174</v>
      </c>
      <c r="E183" s="181">
        <v>7</v>
      </c>
      <c r="F183" s="181">
        <v>7</v>
      </c>
      <c r="G183" s="182" t="s">
        <v>4</v>
      </c>
      <c r="H183" s="131">
        <f t="shared" si="71"/>
        <v>3</v>
      </c>
      <c r="I183" s="131">
        <v>31.7</v>
      </c>
      <c r="J183" s="131">
        <f t="shared" si="80"/>
        <v>1.4366733333333332</v>
      </c>
      <c r="K183" s="131">
        <f>(J183+L183)/2</f>
        <v>1.0933366666666666</v>
      </c>
      <c r="L183" s="131">
        <v>0.75</v>
      </c>
      <c r="M183" s="131">
        <f t="shared" si="72"/>
        <v>0.82800000000000007</v>
      </c>
      <c r="N183" s="131">
        <f t="shared" si="73"/>
        <v>1.1040000000000001</v>
      </c>
      <c r="O183" s="131">
        <v>0.06</v>
      </c>
      <c r="P183" s="131">
        <v>0.2</v>
      </c>
      <c r="Q183" s="131">
        <f t="shared" si="74"/>
        <v>0.1017910447761194</v>
      </c>
      <c r="R183" s="188">
        <f t="shared" si="78"/>
        <v>989.68146054487397</v>
      </c>
      <c r="S183" s="188">
        <f t="shared" si="75"/>
        <v>2.6574207003453826E-3</v>
      </c>
      <c r="T183" s="188">
        <f t="shared" si="76"/>
        <v>0.33333333333333337</v>
      </c>
      <c r="U183" s="188">
        <v>40.799999999999997</v>
      </c>
      <c r="V183" s="188">
        <v>0.33100000000000002</v>
      </c>
      <c r="W183" s="188">
        <f>(U183/100+V183)/2</f>
        <v>0.3695</v>
      </c>
      <c r="X183" s="188"/>
      <c r="Y183" s="188">
        <v>0.01</v>
      </c>
      <c r="Z183" s="188">
        <f>(Y183+N183)/2</f>
        <v>0.55700000000000005</v>
      </c>
      <c r="AA183" s="188">
        <f>-50/158</f>
        <v>-0.31645569620253167</v>
      </c>
      <c r="AB183" s="188">
        <f>AA183</f>
        <v>-0.31645569620253167</v>
      </c>
      <c r="AC183" s="188">
        <f t="shared" si="79"/>
        <v>1.2254989917568004</v>
      </c>
      <c r="AD183" s="188">
        <v>30</v>
      </c>
      <c r="AE183" s="188">
        <v>60</v>
      </c>
      <c r="AF183" s="188">
        <v>5.2</v>
      </c>
      <c r="AG183" s="188"/>
      <c r="AH183" s="188">
        <v>1.72</v>
      </c>
      <c r="AI183" s="188">
        <f t="shared" si="77"/>
        <v>1.2382761935159378E-3</v>
      </c>
    </row>
    <row r="184" spans="4:35" ht="14">
      <c r="D184" s="164" t="s">
        <v>175</v>
      </c>
      <c r="E184" s="181">
        <v>1</v>
      </c>
      <c r="F184" s="181">
        <v>1</v>
      </c>
      <c r="G184" s="182" t="s">
        <v>8</v>
      </c>
      <c r="H184" s="131">
        <f t="shared" si="71"/>
        <v>1</v>
      </c>
      <c r="I184" s="131"/>
      <c r="J184" s="131">
        <f t="shared" si="80"/>
        <v>-1</v>
      </c>
      <c r="K184" s="131">
        <v>0.67</v>
      </c>
      <c r="L184" s="131">
        <v>0.67</v>
      </c>
      <c r="M184" s="131">
        <f t="shared" si="72"/>
        <v>0.19000000000000006</v>
      </c>
      <c r="N184" s="131">
        <f t="shared" si="73"/>
        <v>0.25333333333333341</v>
      </c>
      <c r="O184" s="131">
        <v>0.03</v>
      </c>
      <c r="P184" s="131">
        <v>0.2</v>
      </c>
      <c r="Q184" s="131">
        <f t="shared" si="74"/>
        <v>0.10089552238805971</v>
      </c>
      <c r="R184" s="188">
        <f t="shared" si="78"/>
        <v>2.7849470363265003</v>
      </c>
      <c r="S184" s="188">
        <f t="shared" si="75"/>
        <v>0.94436266316544237</v>
      </c>
      <c r="T184" s="188">
        <f t="shared" si="76"/>
        <v>1</v>
      </c>
      <c r="U184" s="188"/>
      <c r="V184" s="189">
        <v>0.15</v>
      </c>
      <c r="W184" s="188">
        <f>V184</f>
        <v>0.15</v>
      </c>
      <c r="X184" s="188"/>
      <c r="Y184" s="188">
        <v>0.9</v>
      </c>
      <c r="Z184" s="188">
        <f>(Y184+N184)/2</f>
        <v>0.57666666666666666</v>
      </c>
      <c r="AA184" s="188" t="s">
        <v>223</v>
      </c>
      <c r="AB184" s="188">
        <v>0.1</v>
      </c>
      <c r="AC184" s="188">
        <f t="shared" si="79"/>
        <v>2.2856870709784709</v>
      </c>
      <c r="AD184" s="188" t="s">
        <v>223</v>
      </c>
      <c r="AE184" s="188"/>
      <c r="AF184" s="188">
        <v>0.01</v>
      </c>
      <c r="AG184" s="188"/>
      <c r="AH184" s="188">
        <v>8.1</v>
      </c>
      <c r="AI184" s="188">
        <f t="shared" si="77"/>
        <v>0.82072909867378263</v>
      </c>
    </row>
    <row r="185" spans="4:35" ht="14">
      <c r="D185" s="164" t="s">
        <v>176</v>
      </c>
      <c r="E185" s="181">
        <v>5</v>
      </c>
      <c r="F185" s="181">
        <v>4</v>
      </c>
      <c r="G185" s="182" t="s">
        <v>3</v>
      </c>
      <c r="H185" s="131">
        <f t="shared" si="71"/>
        <v>2.166666666666667</v>
      </c>
      <c r="I185" s="131">
        <v>36.1</v>
      </c>
      <c r="J185" s="131">
        <f t="shared" si="80"/>
        <v>1.7748866666666667</v>
      </c>
      <c r="K185" s="131">
        <f t="shared" ref="K185:K191" si="81">(J185+L185)/2</f>
        <v>1.2624433333333334</v>
      </c>
      <c r="L185" s="131">
        <v>0.75</v>
      </c>
      <c r="M185" s="131">
        <f t="shared" si="72"/>
        <v>0.495</v>
      </c>
      <c r="N185" s="131">
        <f t="shared" si="73"/>
        <v>0.66</v>
      </c>
      <c r="O185" s="131">
        <v>0.1</v>
      </c>
      <c r="P185" s="131">
        <v>0.2</v>
      </c>
      <c r="Q185" s="131">
        <f t="shared" si="74"/>
        <v>0.10298507462686568</v>
      </c>
      <c r="R185" s="188">
        <f t="shared" si="78"/>
        <v>80.513769319686944</v>
      </c>
      <c r="S185" s="188">
        <f t="shared" si="75"/>
        <v>3.26652201508211E-2</v>
      </c>
      <c r="T185" s="188">
        <f t="shared" si="76"/>
        <v>0.61111111111111094</v>
      </c>
      <c r="U185" s="188">
        <v>44.3</v>
      </c>
      <c r="V185" s="188">
        <v>0.57799999999999996</v>
      </c>
      <c r="W185" s="188">
        <f t="shared" ref="W185:W191" si="82">(U185/100+V185)/2</f>
        <v>0.51049999999999995</v>
      </c>
      <c r="X185" s="188">
        <v>0.25</v>
      </c>
      <c r="Y185" s="188">
        <v>0.36</v>
      </c>
      <c r="Z185" s="188">
        <f t="shared" ref="Z185:Z191" si="83">(Y185+X185+M185)/3</f>
        <v>0.36833333333333335</v>
      </c>
      <c r="AA185" s="188">
        <f>-53/147</f>
        <v>-0.36054421768707484</v>
      </c>
      <c r="AB185" s="188">
        <f>AA185</f>
        <v>-0.36054421768707484</v>
      </c>
      <c r="AC185" s="188">
        <f t="shared" si="79"/>
        <v>1.3726349823193438</v>
      </c>
      <c r="AD185" s="188">
        <v>35</v>
      </c>
      <c r="AE185" s="188"/>
      <c r="AF185" s="188">
        <v>33</v>
      </c>
      <c r="AG185" s="188"/>
      <c r="AH185" s="188">
        <v>5.05</v>
      </c>
      <c r="AI185" s="188">
        <f t="shared" si="77"/>
        <v>1.704845014607597E-2</v>
      </c>
    </row>
    <row r="186" spans="4:35" ht="14">
      <c r="D186" s="164" t="s">
        <v>177</v>
      </c>
      <c r="E186" s="181">
        <v>3</v>
      </c>
      <c r="F186" s="181">
        <v>3</v>
      </c>
      <c r="G186" s="182" t="s">
        <v>3</v>
      </c>
      <c r="H186" s="131">
        <f t="shared" si="71"/>
        <v>1.6666666666666665</v>
      </c>
      <c r="I186" s="131">
        <v>22.6</v>
      </c>
      <c r="J186" s="131">
        <f t="shared" si="80"/>
        <v>0.73718666666666688</v>
      </c>
      <c r="K186" s="131">
        <f t="shared" si="81"/>
        <v>0.74359333333333344</v>
      </c>
      <c r="L186" s="131">
        <v>0.75</v>
      </c>
      <c r="M186" s="131">
        <f t="shared" si="72"/>
        <v>0.37</v>
      </c>
      <c r="N186" s="131">
        <f t="shared" si="73"/>
        <v>0.49333333333333335</v>
      </c>
      <c r="O186" s="131">
        <v>0.56999999999999995</v>
      </c>
      <c r="P186" s="131">
        <v>0.4</v>
      </c>
      <c r="Q186" s="131">
        <f t="shared" si="74"/>
        <v>0.21701492537313433</v>
      </c>
      <c r="R186" s="188">
        <f t="shared" si="78"/>
        <v>11.282309711117465</v>
      </c>
      <c r="S186" s="188">
        <f t="shared" si="75"/>
        <v>0.23310829673541283</v>
      </c>
      <c r="T186" s="188">
        <f t="shared" si="76"/>
        <v>0.77777777777777779</v>
      </c>
      <c r="U186" s="188">
        <v>27.5</v>
      </c>
      <c r="V186" s="188">
        <f>0.29</f>
        <v>0.28999999999999998</v>
      </c>
      <c r="W186" s="188">
        <f t="shared" si="82"/>
        <v>0.28249999999999997</v>
      </c>
      <c r="X186" s="188">
        <v>0.44800000000000001</v>
      </c>
      <c r="Y186" s="188">
        <v>0.48</v>
      </c>
      <c r="Z186" s="188">
        <f t="shared" si="83"/>
        <v>0.4326666666666667</v>
      </c>
      <c r="AA186" s="188">
        <f>17/105</f>
        <v>0.16190476190476191</v>
      </c>
      <c r="AB186" s="188">
        <f>AA186</f>
        <v>0.16190476190476191</v>
      </c>
      <c r="AC186" s="188">
        <f t="shared" si="79"/>
        <v>1.9781591037945865</v>
      </c>
      <c r="AD186" s="188">
        <v>35</v>
      </c>
      <c r="AE186" s="188">
        <v>7.9</v>
      </c>
      <c r="AF186" s="188">
        <v>45</v>
      </c>
      <c r="AG186" s="188"/>
      <c r="AH186" s="188">
        <v>6.3</v>
      </c>
      <c r="AI186" s="188">
        <f t="shared" si="77"/>
        <v>0.17533281344380486</v>
      </c>
    </row>
    <row r="187" spans="4:35" ht="14">
      <c r="D187" s="164" t="s">
        <v>178</v>
      </c>
      <c r="E187" s="181">
        <v>6</v>
      </c>
      <c r="F187" s="181">
        <v>5</v>
      </c>
      <c r="G187" s="182" t="s">
        <v>4</v>
      </c>
      <c r="H187" s="131">
        <f t="shared" si="71"/>
        <v>2.5</v>
      </c>
      <c r="I187" s="131">
        <v>30</v>
      </c>
      <c r="J187" s="131">
        <f t="shared" si="80"/>
        <v>1.306</v>
      </c>
      <c r="K187" s="131">
        <f t="shared" si="81"/>
        <v>1.153</v>
      </c>
      <c r="L187" s="131">
        <v>1</v>
      </c>
      <c r="M187" s="131">
        <f t="shared" si="72"/>
        <v>0.748</v>
      </c>
      <c r="N187" s="131">
        <f t="shared" si="73"/>
        <v>0.99733333333333329</v>
      </c>
      <c r="O187" s="131">
        <v>0.33</v>
      </c>
      <c r="P187" s="131">
        <v>0.2</v>
      </c>
      <c r="Q187" s="131">
        <f t="shared" si="74"/>
        <v>0.10985074626865672</v>
      </c>
      <c r="R187" s="188">
        <f t="shared" si="78"/>
        <v>284.42232658230176</v>
      </c>
      <c r="S187" s="188">
        <f t="shared" si="75"/>
        <v>9.2468127646757395E-3</v>
      </c>
      <c r="T187" s="188">
        <f t="shared" si="76"/>
        <v>0.5</v>
      </c>
      <c r="U187" s="188">
        <v>36</v>
      </c>
      <c r="V187" s="188">
        <f>1-0.815</f>
        <v>0.18500000000000005</v>
      </c>
      <c r="W187" s="188">
        <f t="shared" si="82"/>
        <v>0.27250000000000002</v>
      </c>
      <c r="X187" s="188">
        <v>0.439</v>
      </c>
      <c r="Y187" s="188">
        <f>1-0.33</f>
        <v>0.66999999999999993</v>
      </c>
      <c r="Z187" s="188">
        <f t="shared" si="83"/>
        <v>0.61899999999999999</v>
      </c>
      <c r="AA187" s="188">
        <v>-0.05</v>
      </c>
      <c r="AB187" s="188">
        <f>AA187</f>
        <v>-0.05</v>
      </c>
      <c r="AC187" s="188">
        <f t="shared" si="79"/>
        <v>1.5231034549440683</v>
      </c>
      <c r="AD187" s="188">
        <v>19.5</v>
      </c>
      <c r="AE187" s="188">
        <v>2.4</v>
      </c>
      <c r="AF187" s="188">
        <v>8.25</v>
      </c>
      <c r="AG187" s="188"/>
      <c r="AH187" s="188">
        <v>2.52</v>
      </c>
      <c r="AI187" s="188">
        <f t="shared" si="77"/>
        <v>5.355076984448111E-3</v>
      </c>
    </row>
    <row r="188" spans="4:35" ht="14">
      <c r="D188" s="164" t="s">
        <v>179</v>
      </c>
      <c r="E188" s="181">
        <v>1</v>
      </c>
      <c r="F188" s="181">
        <v>1</v>
      </c>
      <c r="G188" s="182" t="s">
        <v>8</v>
      </c>
      <c r="H188" s="131">
        <f t="shared" si="71"/>
        <v>1</v>
      </c>
      <c r="I188" s="131">
        <v>28.5</v>
      </c>
      <c r="J188" s="131">
        <f t="shared" si="80"/>
        <v>1.1907000000000001</v>
      </c>
      <c r="K188" s="131">
        <f t="shared" si="81"/>
        <v>1.09535</v>
      </c>
      <c r="L188" s="131">
        <v>1</v>
      </c>
      <c r="M188" s="131">
        <f t="shared" si="72"/>
        <v>0.18399999999999994</v>
      </c>
      <c r="N188" s="131">
        <f t="shared" si="73"/>
        <v>0.24533333333333326</v>
      </c>
      <c r="O188" s="131">
        <v>4.29</v>
      </c>
      <c r="P188" s="131">
        <v>0.8</v>
      </c>
      <c r="Q188" s="131">
        <f t="shared" si="74"/>
        <v>0.52805970149253734</v>
      </c>
      <c r="R188" s="188">
        <f t="shared" si="78"/>
        <v>6.4801459601555633</v>
      </c>
      <c r="S188" s="188">
        <f t="shared" si="75"/>
        <v>0.40585505576125386</v>
      </c>
      <c r="T188" s="188">
        <f t="shared" si="76"/>
        <v>1</v>
      </c>
      <c r="U188" s="188">
        <v>34</v>
      </c>
      <c r="V188" s="188">
        <f>1-0.849</f>
        <v>0.15100000000000002</v>
      </c>
      <c r="W188" s="188">
        <f t="shared" si="82"/>
        <v>0.24550000000000002</v>
      </c>
      <c r="X188" s="188">
        <v>0.79500000000000004</v>
      </c>
      <c r="Y188" s="188">
        <v>0.89</v>
      </c>
      <c r="Z188" s="188">
        <f t="shared" si="83"/>
        <v>0.623</v>
      </c>
      <c r="AA188" s="188">
        <f>-3/102</f>
        <v>-2.9411764705882353E-2</v>
      </c>
      <c r="AB188" s="188">
        <f>AA188</f>
        <v>-2.9411764705882353E-2</v>
      </c>
      <c r="AC188" s="188">
        <f t="shared" si="79"/>
        <v>2.3142559576484043</v>
      </c>
      <c r="AD188" s="188">
        <v>14</v>
      </c>
      <c r="AE188" s="188">
        <v>7.9</v>
      </c>
      <c r="AF188" s="188">
        <v>63</v>
      </c>
      <c r="AG188" s="188"/>
      <c r="AH188" s="188">
        <v>8.16</v>
      </c>
      <c r="AI188" s="188">
        <f t="shared" si="77"/>
        <v>0.35713022081262624</v>
      </c>
    </row>
    <row r="189" spans="4:35" ht="14">
      <c r="D189" s="164" t="s">
        <v>180</v>
      </c>
      <c r="E189" s="181">
        <v>1</v>
      </c>
      <c r="F189" s="181">
        <v>1</v>
      </c>
      <c r="G189" s="182" t="s">
        <v>8</v>
      </c>
      <c r="H189" s="131">
        <f t="shared" si="71"/>
        <v>1</v>
      </c>
      <c r="I189" s="131">
        <v>30</v>
      </c>
      <c r="J189" s="131">
        <f t="shared" si="80"/>
        <v>1.306</v>
      </c>
      <c r="K189" s="131">
        <f t="shared" si="81"/>
        <v>1.3180000000000001</v>
      </c>
      <c r="L189" s="131">
        <v>1.33</v>
      </c>
      <c r="M189" s="131">
        <f t="shared" si="72"/>
        <v>0.18200000000000005</v>
      </c>
      <c r="N189" s="131">
        <f t="shared" si="73"/>
        <v>0.24266666666666672</v>
      </c>
      <c r="O189" s="131">
        <v>16.75</v>
      </c>
      <c r="P189" s="131">
        <v>1</v>
      </c>
      <c r="Q189" s="131">
        <f t="shared" si="74"/>
        <v>1</v>
      </c>
      <c r="R189" s="188">
        <f t="shared" si="78"/>
        <v>12.944444069018425</v>
      </c>
      <c r="S189" s="188">
        <f t="shared" si="75"/>
        <v>0.20317597155792202</v>
      </c>
      <c r="T189" s="188">
        <f t="shared" si="76"/>
        <v>1</v>
      </c>
      <c r="U189" s="188">
        <v>45</v>
      </c>
      <c r="V189" s="188">
        <f>1-0.902</f>
        <v>9.7999999999999976E-2</v>
      </c>
      <c r="W189" s="188">
        <f t="shared" si="82"/>
        <v>0.27400000000000002</v>
      </c>
      <c r="X189" s="188">
        <v>0.69399999999999995</v>
      </c>
      <c r="Y189" s="188">
        <v>0.85</v>
      </c>
      <c r="Z189" s="188">
        <f t="shared" si="83"/>
        <v>0.57533333333333336</v>
      </c>
      <c r="AA189" s="188">
        <f>-23/105</f>
        <v>-0.21904761904761905</v>
      </c>
      <c r="AB189" s="188">
        <f>(AA189+0.3)/2</f>
        <v>4.0476190476190471E-2</v>
      </c>
      <c r="AC189" s="188">
        <f t="shared" si="79"/>
        <v>2.4346658612424643</v>
      </c>
      <c r="AD189" s="188">
        <v>15.1</v>
      </c>
      <c r="AE189" s="188">
        <v>9.6999999999999993</v>
      </c>
      <c r="AF189" s="188">
        <v>315</v>
      </c>
      <c r="AG189" s="188"/>
      <c r="AH189" s="188">
        <v>8.18</v>
      </c>
      <c r="AI189" s="188">
        <f t="shared" si="77"/>
        <v>0.18808578014328617</v>
      </c>
    </row>
    <row r="190" spans="4:35" ht="14">
      <c r="D190" s="164" t="s">
        <v>181</v>
      </c>
      <c r="E190" s="181">
        <v>1</v>
      </c>
      <c r="F190" s="181">
        <v>1</v>
      </c>
      <c r="G190" s="182" t="s">
        <v>8</v>
      </c>
      <c r="H190" s="131">
        <f t="shared" si="71"/>
        <v>1</v>
      </c>
      <c r="I190" s="131">
        <v>32.9</v>
      </c>
      <c r="J190" s="131">
        <f t="shared" si="80"/>
        <v>1.5289133333333336</v>
      </c>
      <c r="K190" s="131">
        <f t="shared" si="81"/>
        <v>1.1394566666666668</v>
      </c>
      <c r="L190" s="131">
        <v>0.75</v>
      </c>
      <c r="M190" s="131">
        <f t="shared" si="72"/>
        <v>0.19000000000000006</v>
      </c>
      <c r="N190" s="131">
        <f t="shared" si="73"/>
        <v>0.25333333333333341</v>
      </c>
      <c r="O190" s="131">
        <v>0.15</v>
      </c>
      <c r="P190" s="131">
        <v>0.2</v>
      </c>
      <c r="Q190" s="131">
        <f t="shared" si="74"/>
        <v>0.10447761194029852</v>
      </c>
      <c r="R190" s="188">
        <f t="shared" si="78"/>
        <v>4.4694600714286983</v>
      </c>
      <c r="S190" s="188">
        <f t="shared" si="75"/>
        <v>0.58843796744319044</v>
      </c>
      <c r="T190" s="188">
        <f t="shared" si="76"/>
        <v>1</v>
      </c>
      <c r="U190" s="188">
        <v>42.4</v>
      </c>
      <c r="V190" s="188">
        <f>1-0.765</f>
        <v>0.23499999999999999</v>
      </c>
      <c r="W190" s="188">
        <f t="shared" si="82"/>
        <v>0.32950000000000002</v>
      </c>
      <c r="X190" s="188">
        <v>0.49199999999999999</v>
      </c>
      <c r="Y190" s="188">
        <v>0.4</v>
      </c>
      <c r="Z190" s="188">
        <f t="shared" si="83"/>
        <v>0.36066666666666669</v>
      </c>
      <c r="AA190" s="188">
        <f>17/135</f>
        <v>0.12592592592592591</v>
      </c>
      <c r="AB190" s="188">
        <f>AA190</f>
        <v>0.12592592592592591</v>
      </c>
      <c r="AC190" s="188">
        <f t="shared" si="79"/>
        <v>2.2616453799010783</v>
      </c>
      <c r="AD190" s="188">
        <v>20.9</v>
      </c>
      <c r="AE190" s="188">
        <v>6.3</v>
      </c>
      <c r="AF190" s="188">
        <v>3.2</v>
      </c>
      <c r="AG190" s="188"/>
      <c r="AH190" s="188">
        <v>8.1</v>
      </c>
      <c r="AI190" s="188">
        <f t="shared" si="77"/>
        <v>0.50602205719630144</v>
      </c>
    </row>
    <row r="191" spans="4:35" ht="14">
      <c r="D191" s="164" t="s">
        <v>182</v>
      </c>
      <c r="E191" s="181">
        <v>7</v>
      </c>
      <c r="F191" s="181">
        <v>7</v>
      </c>
      <c r="G191" s="182" t="s">
        <v>4</v>
      </c>
      <c r="H191" s="131">
        <f t="shared" si="71"/>
        <v>3</v>
      </c>
      <c r="I191" s="131">
        <v>29.6</v>
      </c>
      <c r="J191" s="131">
        <f t="shared" si="80"/>
        <v>1.2752533333333336</v>
      </c>
      <c r="K191" s="131">
        <f t="shared" si="81"/>
        <v>1.0126266666666668</v>
      </c>
      <c r="L191" s="131">
        <v>0.75</v>
      </c>
      <c r="M191" s="131">
        <f t="shared" si="72"/>
        <v>0.82600000000000007</v>
      </c>
      <c r="N191" s="131">
        <f t="shared" si="73"/>
        <v>1.1013333333333335</v>
      </c>
      <c r="O191" s="131">
        <v>0.14000000000000001</v>
      </c>
      <c r="P191" s="131">
        <v>0.2</v>
      </c>
      <c r="Q191" s="131">
        <f t="shared" si="74"/>
        <v>0.10417910447761194</v>
      </c>
      <c r="R191" s="188">
        <f t="shared" si="78"/>
        <v>776.20550676890593</v>
      </c>
      <c r="S191" s="188">
        <f t="shared" si="75"/>
        <v>3.3882779458082493E-3</v>
      </c>
      <c r="T191" s="188">
        <f t="shared" si="76"/>
        <v>0.33333333333333337</v>
      </c>
      <c r="U191" s="188">
        <v>36.799999999999997</v>
      </c>
      <c r="V191" s="188">
        <v>0.38300000000000001</v>
      </c>
      <c r="W191" s="188">
        <f t="shared" si="82"/>
        <v>0.3755</v>
      </c>
      <c r="X191" s="188">
        <v>7.6999999999999999E-2</v>
      </c>
      <c r="Y191" s="188">
        <v>0.28999999999999998</v>
      </c>
      <c r="Z191" s="188">
        <f t="shared" si="83"/>
        <v>0.39766666666666667</v>
      </c>
      <c r="AA191" s="188" t="s">
        <v>225</v>
      </c>
      <c r="AB191" s="188">
        <v>0.1</v>
      </c>
      <c r="AC191" s="188">
        <f t="shared" si="79"/>
        <v>1.3378389062691889</v>
      </c>
      <c r="AD191" s="188">
        <v>26</v>
      </c>
      <c r="AE191" s="188">
        <v>1</v>
      </c>
      <c r="AF191" s="188">
        <v>29</v>
      </c>
      <c r="AG191" s="188"/>
      <c r="AH191" s="188">
        <v>1.74</v>
      </c>
      <c r="AI191" s="188">
        <f t="shared" si="77"/>
        <v>1.7235627608958642E-3</v>
      </c>
    </row>
    <row r="192" spans="4:35" ht="14">
      <c r="D192" s="164" t="s">
        <v>183</v>
      </c>
      <c r="E192" s="181">
        <v>2</v>
      </c>
      <c r="F192" s="181">
        <v>2</v>
      </c>
      <c r="G192" s="182" t="s">
        <v>8</v>
      </c>
      <c r="H192" s="131">
        <f t="shared" si="71"/>
        <v>1.3333333333333333</v>
      </c>
      <c r="I192" s="131"/>
      <c r="J192" s="131">
        <f t="shared" si="80"/>
        <v>-1</v>
      </c>
      <c r="K192" s="131">
        <v>0.67</v>
      </c>
      <c r="L192" s="131">
        <v>0.75</v>
      </c>
      <c r="M192" s="131">
        <f t="shared" si="72"/>
        <v>0.39</v>
      </c>
      <c r="N192" s="131">
        <f t="shared" si="73"/>
        <v>0.52</v>
      </c>
      <c r="O192" s="131">
        <v>0.04</v>
      </c>
      <c r="P192" s="131">
        <v>0.2</v>
      </c>
      <c r="Q192" s="131">
        <f t="shared" si="74"/>
        <v>0.10119402985074627</v>
      </c>
      <c r="R192" s="188">
        <f t="shared" si="78"/>
        <v>5.5934263368652521</v>
      </c>
      <c r="S192" s="188">
        <f t="shared" si="75"/>
        <v>0.47019480397304064</v>
      </c>
      <c r="T192" s="188">
        <f t="shared" si="76"/>
        <v>0.88888888888888895</v>
      </c>
      <c r="U192" s="188"/>
      <c r="V192" s="189">
        <v>0.23</v>
      </c>
      <c r="W192" s="188">
        <f>V192</f>
        <v>0.23</v>
      </c>
      <c r="X192" s="188"/>
      <c r="Y192" s="188">
        <v>0.62</v>
      </c>
      <c r="Z192" s="188">
        <f>(Y192+N192)/2</f>
        <v>0.57000000000000006</v>
      </c>
      <c r="AA192" s="188" t="s">
        <v>225</v>
      </c>
      <c r="AB192" s="188">
        <v>0.1</v>
      </c>
      <c r="AC192" s="188">
        <f t="shared" si="79"/>
        <v>2.2255409284924679</v>
      </c>
      <c r="AD192" s="188" t="s">
        <v>223</v>
      </c>
      <c r="AE192" s="188">
        <v>1.7</v>
      </c>
      <c r="AF192" s="188">
        <v>0.23400000000000001</v>
      </c>
      <c r="AG192" s="188"/>
      <c r="AH192" s="188">
        <v>6.1</v>
      </c>
      <c r="AI192" s="188">
        <f t="shared" si="77"/>
        <v>0.39788508768307784</v>
      </c>
    </row>
    <row r="193" spans="4:35" ht="14">
      <c r="D193" s="164" t="s">
        <v>184</v>
      </c>
      <c r="E193" s="181">
        <v>5</v>
      </c>
      <c r="F193" s="181">
        <v>5</v>
      </c>
      <c r="G193" s="182" t="s">
        <v>3</v>
      </c>
      <c r="H193" s="131">
        <f t="shared" si="71"/>
        <v>2.333333333333333</v>
      </c>
      <c r="I193" s="131">
        <v>32.700000000000003</v>
      </c>
      <c r="J193" s="131">
        <f t="shared" si="80"/>
        <v>1.5135400000000003</v>
      </c>
      <c r="K193" s="131">
        <f>(J193+L193)/2</f>
        <v>1.1317700000000002</v>
      </c>
      <c r="L193" s="131">
        <v>0.75</v>
      </c>
      <c r="M193" s="131">
        <f t="shared" si="72"/>
        <v>0.48199999999999998</v>
      </c>
      <c r="N193" s="131">
        <f t="shared" si="73"/>
        <v>0.64266666666666661</v>
      </c>
      <c r="O193" s="131">
        <v>1.0900000000000001</v>
      </c>
      <c r="P193" s="131">
        <v>0.4</v>
      </c>
      <c r="Q193" s="131">
        <f t="shared" si="74"/>
        <v>0.23253731343283585</v>
      </c>
      <c r="R193" s="188">
        <f t="shared" si="78"/>
        <v>108.08730572503055</v>
      </c>
      <c r="S193" s="188">
        <f t="shared" si="75"/>
        <v>2.4332182048191733E-2</v>
      </c>
      <c r="T193" s="188">
        <f t="shared" si="76"/>
        <v>0.55555555555555558</v>
      </c>
      <c r="U193" s="188">
        <v>39</v>
      </c>
      <c r="V193" s="188">
        <f>1-0.696</f>
        <v>0.30400000000000005</v>
      </c>
      <c r="W193" s="188">
        <f>(U193/100+V193)/2</f>
        <v>0.34700000000000003</v>
      </c>
      <c r="X193" s="188">
        <v>0.36</v>
      </c>
      <c r="Y193" s="188">
        <f>1-0.42</f>
        <v>0.58000000000000007</v>
      </c>
      <c r="Z193" s="188">
        <f>(Y193+X193+M193)/3</f>
        <v>0.47400000000000003</v>
      </c>
      <c r="AA193" s="188">
        <v>5.1999999999999998E-2</v>
      </c>
      <c r="AB193" s="188">
        <f>AA193</f>
        <v>5.1999999999999998E-2</v>
      </c>
      <c r="AC193" s="188">
        <f t="shared" si="79"/>
        <v>1.6241750088442295</v>
      </c>
      <c r="AD193" s="188">
        <v>27</v>
      </c>
      <c r="AE193" s="188">
        <v>7.3</v>
      </c>
      <c r="AF193" s="188">
        <v>27</v>
      </c>
      <c r="AG193" s="188"/>
      <c r="AH193" s="188">
        <v>5.18</v>
      </c>
      <c r="AI193" s="188">
        <f t="shared" si="77"/>
        <v>1.5026510263620233E-2</v>
      </c>
    </row>
    <row r="194" spans="4:35" ht="14">
      <c r="D194" s="164" t="s">
        <v>185</v>
      </c>
      <c r="E194" s="181">
        <v>7</v>
      </c>
      <c r="F194" s="181">
        <v>5</v>
      </c>
      <c r="G194" s="182" t="s">
        <v>4</v>
      </c>
      <c r="H194" s="131">
        <f t="shared" si="71"/>
        <v>2.666666666666667</v>
      </c>
      <c r="I194" s="131">
        <v>30</v>
      </c>
      <c r="J194" s="131">
        <f t="shared" si="80"/>
        <v>1.306</v>
      </c>
      <c r="K194" s="131">
        <f>(J194+L194)/2</f>
        <v>1.153</v>
      </c>
      <c r="L194" s="131">
        <v>1</v>
      </c>
      <c r="M194" s="131">
        <f t="shared" si="72"/>
        <v>0.70599999999999996</v>
      </c>
      <c r="N194" s="131">
        <f t="shared" si="73"/>
        <v>0.94133333333333324</v>
      </c>
      <c r="O194" s="131">
        <v>0.21</v>
      </c>
      <c r="P194" s="131">
        <v>0.4</v>
      </c>
      <c r="Q194" s="131">
        <f t="shared" si="74"/>
        <v>0.20626865671641792</v>
      </c>
      <c r="R194" s="188">
        <f t="shared" si="78"/>
        <v>461.71076263856901</v>
      </c>
      <c r="S194" s="188">
        <f t="shared" si="75"/>
        <v>5.6962068308093255E-3</v>
      </c>
      <c r="T194" s="188">
        <f t="shared" si="76"/>
        <v>0.44444444444444431</v>
      </c>
      <c r="U194" s="188">
        <v>37.6</v>
      </c>
      <c r="V194" s="188">
        <f>1-0.572</f>
        <v>0.42800000000000005</v>
      </c>
      <c r="W194" s="188">
        <f>(U194/100+V194)/2</f>
        <v>0.40200000000000002</v>
      </c>
      <c r="X194" s="188">
        <v>0.57299999999999995</v>
      </c>
      <c r="Y194" s="188">
        <v>0.42</v>
      </c>
      <c r="Z194" s="188">
        <f>(Y194+X194+M194)/3</f>
        <v>0.56633333333333324</v>
      </c>
      <c r="AA194" s="188">
        <f>18/140</f>
        <v>0.12857142857142856</v>
      </c>
      <c r="AB194" s="188">
        <f>AA194</f>
        <v>0.12857142857142856</v>
      </c>
      <c r="AC194" s="188">
        <f t="shared" si="79"/>
        <v>1.6282620638610517</v>
      </c>
      <c r="AD194" s="188">
        <v>14.5</v>
      </c>
      <c r="AE194" s="188">
        <v>2.2000000000000002</v>
      </c>
      <c r="AF194" s="188">
        <v>25</v>
      </c>
      <c r="AG194" s="188"/>
      <c r="AH194" s="188">
        <v>2.94</v>
      </c>
      <c r="AI194" s="188">
        <f t="shared" si="77"/>
        <v>3.5265845971532367E-3</v>
      </c>
    </row>
    <row r="195" spans="4:35" ht="14">
      <c r="D195" s="164" t="s">
        <v>186</v>
      </c>
      <c r="E195" s="181">
        <v>6</v>
      </c>
      <c r="F195" s="181">
        <v>5</v>
      </c>
      <c r="G195" s="182" t="s">
        <v>4</v>
      </c>
      <c r="H195" s="131">
        <f t="shared" si="71"/>
        <v>2.5</v>
      </c>
      <c r="I195" s="131">
        <v>30.8</v>
      </c>
      <c r="J195" s="131">
        <f t="shared" si="80"/>
        <v>1.3674933333333334</v>
      </c>
      <c r="K195" s="131">
        <f>(J195+L195)/2</f>
        <v>1.1837466666666667</v>
      </c>
      <c r="L195" s="131">
        <v>1</v>
      </c>
      <c r="M195" s="131">
        <f t="shared" si="72"/>
        <v>0.73599999999999999</v>
      </c>
      <c r="N195" s="131">
        <f t="shared" si="73"/>
        <v>0.98133333333333328</v>
      </c>
      <c r="O195" s="131">
        <v>0.13</v>
      </c>
      <c r="P195" s="131">
        <v>0.2</v>
      </c>
      <c r="Q195" s="131">
        <f t="shared" si="74"/>
        <v>0.10388059701492539</v>
      </c>
      <c r="R195" s="188">
        <f t="shared" si="78"/>
        <v>290.73188717024044</v>
      </c>
      <c r="S195" s="188">
        <f t="shared" si="75"/>
        <v>9.0461353434547129E-3</v>
      </c>
      <c r="T195" s="188">
        <f t="shared" si="76"/>
        <v>0.5</v>
      </c>
      <c r="U195" s="188">
        <v>37.700000000000003</v>
      </c>
      <c r="V195" s="188">
        <f>1-0.439</f>
        <v>0.56099999999999994</v>
      </c>
      <c r="W195" s="188">
        <f>(U195/100+V195)/2</f>
        <v>0.46899999999999997</v>
      </c>
      <c r="X195" s="188">
        <v>0.372</v>
      </c>
      <c r="Y195" s="188">
        <v>1.25</v>
      </c>
      <c r="Z195" s="188">
        <f>(Y195+X195+M195)/3</f>
        <v>0.78599999999999992</v>
      </c>
      <c r="AA195" s="188">
        <v>9.5000000000000001E-2</v>
      </c>
      <c r="AB195" s="188">
        <f>AA195+1</f>
        <v>1.095</v>
      </c>
      <c r="AC195" s="188">
        <f t="shared" si="79"/>
        <v>3.2381429438379601</v>
      </c>
      <c r="AD195" s="188">
        <v>45</v>
      </c>
      <c r="AE195" s="188">
        <v>35</v>
      </c>
      <c r="AF195" s="188">
        <v>25</v>
      </c>
      <c r="AG195" s="188"/>
      <c r="AH195" s="188">
        <v>2.64</v>
      </c>
      <c r="AI195" s="188">
        <f t="shared" si="77"/>
        <v>1.1137900886468084E-2</v>
      </c>
    </row>
    <row r="196" spans="4:35" ht="14">
      <c r="D196" s="164" t="s">
        <v>187</v>
      </c>
      <c r="E196" s="181">
        <v>3</v>
      </c>
      <c r="F196" s="181">
        <v>4</v>
      </c>
      <c r="G196" s="182" t="s">
        <v>3</v>
      </c>
      <c r="H196" s="131">
        <f t="shared" si="71"/>
        <v>1.8333333333333335</v>
      </c>
      <c r="I196" s="131">
        <v>38.799999999999997</v>
      </c>
      <c r="J196" s="131">
        <f t="shared" si="80"/>
        <v>1.9824266666666666</v>
      </c>
      <c r="K196" s="131">
        <f>(J196+L196)/2</f>
        <v>1.3662133333333333</v>
      </c>
      <c r="L196" s="131">
        <v>0.75</v>
      </c>
      <c r="M196" s="131">
        <f t="shared" si="72"/>
        <v>0.43200000000000005</v>
      </c>
      <c r="N196" s="131">
        <f t="shared" ref="N196:N197" si="84">4*M196/3</f>
        <v>0.57600000000000007</v>
      </c>
      <c r="O196" s="131">
        <v>0.22</v>
      </c>
      <c r="P196" s="131">
        <v>0.2</v>
      </c>
      <c r="Q196" s="131">
        <f t="shared" ref="Q196:Q197" si="85">(O196/16.75+P196)/2</f>
        <v>0.10656716417910449</v>
      </c>
      <c r="R196" s="188">
        <f t="shared" si="78"/>
        <v>42.781149733020825</v>
      </c>
      <c r="S196" s="188">
        <f t="shared" ref="S196:S197" si="86">2.63/R196</f>
        <v>6.1475673664983868E-2</v>
      </c>
      <c r="T196" s="188">
        <f t="shared" si="76"/>
        <v>0.7222222222222221</v>
      </c>
      <c r="U196" s="188">
        <v>50.8</v>
      </c>
      <c r="V196" s="188">
        <f>1-0.395</f>
        <v>0.60499999999999998</v>
      </c>
      <c r="W196" s="188">
        <f>(U196/100+V196)/2</f>
        <v>0.55649999999999999</v>
      </c>
      <c r="X196" s="188">
        <v>0.27300000000000002</v>
      </c>
      <c r="Y196" s="188">
        <f>1-0.67</f>
        <v>0.32999999999999996</v>
      </c>
      <c r="Z196" s="188">
        <f>(Y196+X196+M196)/3</f>
        <v>0.34500000000000003</v>
      </c>
      <c r="AA196" s="188">
        <f>-14/136</f>
        <v>-0.10294117647058823</v>
      </c>
      <c r="AB196" s="188">
        <f>AA196</f>
        <v>-0.10294117647058823</v>
      </c>
      <c r="AC196" s="188">
        <f t="shared" si="79"/>
        <v>1.780219957154126</v>
      </c>
      <c r="AD196" s="188">
        <v>64</v>
      </c>
      <c r="AE196" s="188">
        <v>14</v>
      </c>
      <c r="AF196" s="188">
        <v>12.9</v>
      </c>
      <c r="AG196" s="188"/>
      <c r="AH196" s="188">
        <v>5.68</v>
      </c>
      <c r="AI196" s="188">
        <f t="shared" si="77"/>
        <v>4.1612251383231408E-2</v>
      </c>
    </row>
    <row r="197" spans="4:35" ht="14.5" thickBot="1">
      <c r="D197" s="166" t="s">
        <v>188</v>
      </c>
      <c r="E197" s="185">
        <v>6</v>
      </c>
      <c r="F197" s="185">
        <v>6</v>
      </c>
      <c r="G197" s="186" t="s">
        <v>4</v>
      </c>
      <c r="H197" s="131">
        <f t="shared" si="71"/>
        <v>2.666666666666667</v>
      </c>
      <c r="I197" s="131">
        <v>40.4</v>
      </c>
      <c r="J197" s="131">
        <f t="shared" si="80"/>
        <v>2.1054133333333334</v>
      </c>
      <c r="K197" s="131">
        <f>(J197+L197)/2</f>
        <v>1.4277066666666667</v>
      </c>
      <c r="L197" s="142">
        <f>3/4</f>
        <v>0.75</v>
      </c>
      <c r="M197" s="131">
        <f t="shared" si="72"/>
        <v>0.73599999999999999</v>
      </c>
      <c r="N197" s="131">
        <f t="shared" si="84"/>
        <v>0.98133333333333328</v>
      </c>
      <c r="O197" s="131">
        <v>0.17</v>
      </c>
      <c r="P197" s="131">
        <v>0.2</v>
      </c>
      <c r="Q197" s="131">
        <f t="shared" si="85"/>
        <v>0.10507462686567165</v>
      </c>
      <c r="R197" s="188">
        <f t="shared" ref="R197" si="87">EXP(H197*(K197+N197+Q197))</f>
        <v>815.9113192281385</v>
      </c>
      <c r="S197" s="188">
        <f t="shared" si="86"/>
        <v>3.2233895253322509E-3</v>
      </c>
      <c r="T197" s="188">
        <f t="shared" si="76"/>
        <v>0.44444444444444431</v>
      </c>
      <c r="U197" s="188">
        <v>50.1</v>
      </c>
      <c r="V197" s="188">
        <f>1-0.14</f>
        <v>0.86</v>
      </c>
      <c r="W197" s="188">
        <f>(U197/100+V197)/2</f>
        <v>0.68049999999999999</v>
      </c>
      <c r="X197" s="188">
        <v>2.2999999999999998</v>
      </c>
      <c r="Y197" s="188">
        <v>0.4</v>
      </c>
      <c r="Z197" s="188">
        <f>(Y197+X197+M197)/3</f>
        <v>1.1453333333333333</v>
      </c>
      <c r="AA197" s="188">
        <f>(127-79)/92</f>
        <v>0.52173913043478259</v>
      </c>
      <c r="AB197" s="188">
        <f>AA197</f>
        <v>0.52173913043478259</v>
      </c>
      <c r="AC197" s="188">
        <f t="shared" ref="AC197" si="88">EXP(T197*(AB197+Z197+W197))</f>
        <v>2.8387548968901704</v>
      </c>
      <c r="AD197" s="188">
        <v>69</v>
      </c>
      <c r="AE197" s="188">
        <v>95</v>
      </c>
      <c r="AF197" s="188">
        <v>12.5</v>
      </c>
      <c r="AG197" s="188"/>
      <c r="AH197" s="188">
        <v>2.64</v>
      </c>
      <c r="AI197" s="188">
        <f t="shared" si="77"/>
        <v>3.479244410502437E-3</v>
      </c>
    </row>
    <row r="198" spans="4:35" ht="13" thickTop="1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E200"/>
  <sheetViews>
    <sheetView topLeftCell="A185" workbookViewId="0">
      <selection activeCell="Z197" sqref="A3:Z197"/>
    </sheetView>
  </sheetViews>
  <sheetFormatPr defaultRowHeight="12.5"/>
  <cols>
    <col min="1" max="1" width="24.7265625" style="167" customWidth="1"/>
    <col min="2" max="13" width="0" style="167" hidden="1" customWidth="1"/>
    <col min="14" max="14" width="12.6328125" style="167" hidden="1" customWidth="1"/>
    <col min="15" max="15" width="12.36328125" style="167" customWidth="1"/>
    <col min="16" max="16" width="12.453125" style="167" customWidth="1"/>
    <col min="17" max="25" width="0" style="167" hidden="1" customWidth="1"/>
    <col min="26" max="26" width="14.6328125" style="167" customWidth="1"/>
    <col min="27" max="31" width="0" hidden="1" customWidth="1"/>
  </cols>
  <sheetData>
    <row r="1" spans="1:31" ht="18" thickTop="1">
      <c r="A1" s="168"/>
      <c r="B1" s="212">
        <v>2011</v>
      </c>
      <c r="C1" s="213"/>
      <c r="D1" s="214"/>
      <c r="E1" s="169" t="s">
        <v>205</v>
      </c>
      <c r="F1" s="169" t="s">
        <v>207</v>
      </c>
      <c r="G1" s="170">
        <v>0.01</v>
      </c>
      <c r="H1" s="170" t="s">
        <v>202</v>
      </c>
      <c r="I1" s="169" t="s">
        <v>203</v>
      </c>
      <c r="J1" s="169" t="s">
        <v>204</v>
      </c>
      <c r="K1" s="169" t="s">
        <v>201</v>
      </c>
      <c r="L1" s="169" t="s">
        <v>208</v>
      </c>
      <c r="M1" s="169" t="s">
        <v>206</v>
      </c>
      <c r="N1" s="169" t="s">
        <v>209</v>
      </c>
      <c r="O1" s="171" t="s">
        <v>242</v>
      </c>
      <c r="P1" s="169" t="s">
        <v>210</v>
      </c>
      <c r="Q1" s="169" t="s">
        <v>211</v>
      </c>
      <c r="R1" s="169" t="s">
        <v>200</v>
      </c>
      <c r="S1" s="169" t="s">
        <v>219</v>
      </c>
      <c r="T1" s="169" t="s">
        <v>212</v>
      </c>
      <c r="U1" s="150" t="s">
        <v>213</v>
      </c>
      <c r="V1" s="150" t="s">
        <v>214</v>
      </c>
      <c r="W1" s="150" t="s">
        <v>215</v>
      </c>
      <c r="X1" s="150" t="s">
        <v>216</v>
      </c>
      <c r="Y1" s="150" t="s">
        <v>217</v>
      </c>
      <c r="Z1" s="169" t="s">
        <v>243</v>
      </c>
    </row>
    <row r="2" spans="1:31" ht="14">
      <c r="A2" s="172"/>
      <c r="B2" s="173"/>
      <c r="C2" s="174" t="s">
        <v>218</v>
      </c>
      <c r="D2" s="175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</row>
    <row r="3" spans="1:31" ht="14.5" thickBot="1">
      <c r="A3" s="176"/>
      <c r="B3" s="177" t="s">
        <v>0</v>
      </c>
      <c r="C3" s="177" t="s">
        <v>197</v>
      </c>
      <c r="D3" s="178" t="s">
        <v>1</v>
      </c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S3" s="131"/>
      <c r="T3" s="131"/>
      <c r="U3" s="131"/>
      <c r="V3" s="131"/>
      <c r="W3" s="131"/>
      <c r="X3" s="131"/>
      <c r="Y3" s="131"/>
      <c r="Z3" s="131"/>
    </row>
    <row r="4" spans="1:31" ht="18.5" thickTop="1">
      <c r="A4" s="163" t="s">
        <v>2</v>
      </c>
      <c r="B4" s="179">
        <v>6</v>
      </c>
      <c r="C4" s="180">
        <v>6</v>
      </c>
      <c r="D4" s="180" t="s">
        <v>4</v>
      </c>
      <c r="E4" s="131">
        <f t="shared" ref="E4:E67" si="0">1+(-2+B4+C4)/6</f>
        <v>2.666666666666667</v>
      </c>
      <c r="F4" s="131">
        <v>24</v>
      </c>
      <c r="G4" s="131">
        <f t="shared" ref="G4:G67" si="1">1.153*F4/15-1</f>
        <v>0.8448</v>
      </c>
      <c r="H4" s="131">
        <f>(G4+I4)/2</f>
        <v>0.9224</v>
      </c>
      <c r="I4" s="131">
        <v>1</v>
      </c>
      <c r="J4" s="131">
        <f t="shared" ref="J4:J67" si="2">1-AE7/10</f>
        <v>0.752</v>
      </c>
      <c r="K4" s="131">
        <f t="shared" ref="K4:K67" si="3">4*J4/3</f>
        <v>1.0026666666666666</v>
      </c>
      <c r="L4" s="131">
        <v>0.09</v>
      </c>
      <c r="M4" s="131">
        <v>0.2</v>
      </c>
      <c r="N4" s="131">
        <f t="shared" ref="N4:N67" si="4">(L4/16.75+M4)/2</f>
        <v>0.10268656716417911</v>
      </c>
      <c r="O4" s="131">
        <v>2.13</v>
      </c>
      <c r="P4" s="131">
        <f t="shared" ref="P4:P35" si="5">2.63/Z4</f>
        <v>1.0187480632166098E-2</v>
      </c>
      <c r="Q4" s="131">
        <f t="shared" ref="Q4:Q67" si="6">1-(E4-1)/3</f>
        <v>0.44444444444444431</v>
      </c>
      <c r="R4" s="131">
        <v>29.4</v>
      </c>
      <c r="S4" s="131">
        <v>0.65100000000000002</v>
      </c>
      <c r="T4" s="131">
        <f>(R4/100+S4)/2</f>
        <v>0.47250000000000003</v>
      </c>
      <c r="U4" s="131" t="s">
        <v>223</v>
      </c>
      <c r="V4" s="131">
        <v>0.28999999999999998</v>
      </c>
      <c r="W4" s="131">
        <f>(V4+K4)/2</f>
        <v>0.64633333333333332</v>
      </c>
      <c r="X4" s="131" t="s">
        <v>223</v>
      </c>
      <c r="Y4" s="131">
        <v>0.3</v>
      </c>
      <c r="Z4" s="131">
        <v>258.16000000000003</v>
      </c>
      <c r="AA4" s="2" t="s">
        <v>222</v>
      </c>
      <c r="AB4" s="2" t="s">
        <v>221</v>
      </c>
      <c r="AC4" s="2" t="s">
        <v>220</v>
      </c>
      <c r="AD4" s="91"/>
      <c r="AE4" s="2" t="s">
        <v>224</v>
      </c>
    </row>
    <row r="5" spans="1:31" ht="14">
      <c r="A5" s="164" t="s">
        <v>5</v>
      </c>
      <c r="B5" s="181">
        <v>3</v>
      </c>
      <c r="C5" s="181">
        <v>3</v>
      </c>
      <c r="D5" s="182" t="s">
        <v>3</v>
      </c>
      <c r="E5" s="131">
        <f t="shared" si="0"/>
        <v>1.6666666666666665</v>
      </c>
      <c r="F5" s="131">
        <v>29</v>
      </c>
      <c r="G5" s="131">
        <f t="shared" si="1"/>
        <v>1.229133333333333</v>
      </c>
      <c r="H5" s="131">
        <f>(G5+I5)/2</f>
        <v>0.98956666666666648</v>
      </c>
      <c r="I5" s="131">
        <v>0.75</v>
      </c>
      <c r="J5" s="131">
        <f t="shared" si="2"/>
        <v>0.41399999999999992</v>
      </c>
      <c r="K5" s="131">
        <f t="shared" si="3"/>
        <v>0.55199999999999994</v>
      </c>
      <c r="L5" s="131">
        <v>0.05</v>
      </c>
      <c r="M5" s="131">
        <v>0.2</v>
      </c>
      <c r="N5" s="131">
        <f t="shared" si="4"/>
        <v>0.10149253731343284</v>
      </c>
      <c r="O5" s="131">
        <f t="shared" ref="O5:O36" si="7">EXP(Q5*(Y5+W5+T5))</f>
        <v>2.0121870643048236</v>
      </c>
      <c r="P5" s="131">
        <f t="shared" si="5"/>
        <v>0.17008649785103117</v>
      </c>
      <c r="Q5" s="131">
        <f t="shared" si="6"/>
        <v>0.77777777777777779</v>
      </c>
      <c r="R5" s="131">
        <v>34.5</v>
      </c>
      <c r="S5" s="131">
        <f>1-0.719</f>
        <v>0.28100000000000003</v>
      </c>
      <c r="T5" s="131">
        <f>(R5/100+S5)/2</f>
        <v>0.313</v>
      </c>
      <c r="U5" s="131">
        <v>0.59399999999999997</v>
      </c>
      <c r="V5" s="131">
        <v>0.75</v>
      </c>
      <c r="W5" s="131">
        <f>(V5+U5+J5)/3</f>
        <v>0.58599999999999997</v>
      </c>
      <c r="X5" s="131">
        <v>0</v>
      </c>
      <c r="Y5" s="131">
        <f>X5</f>
        <v>0</v>
      </c>
      <c r="Z5" s="131">
        <f t="shared" ref="Z5:Z36" si="8">EXP(E5*(H5+K5+N5))</f>
        <v>15.462720634670621</v>
      </c>
      <c r="AA5" s="13"/>
      <c r="AB5" s="13"/>
      <c r="AC5" s="13"/>
      <c r="AD5" s="75"/>
      <c r="AE5" s="13"/>
    </row>
    <row r="6" spans="1:31" ht="14">
      <c r="A6" s="164" t="s">
        <v>6</v>
      </c>
      <c r="B6" s="181">
        <v>6</v>
      </c>
      <c r="C6" s="181">
        <v>5</v>
      </c>
      <c r="D6" s="182" t="s">
        <v>4</v>
      </c>
      <c r="E6" s="131">
        <f t="shared" si="0"/>
        <v>2.5</v>
      </c>
      <c r="F6" s="131">
        <v>26.8</v>
      </c>
      <c r="G6" s="131">
        <f t="shared" si="1"/>
        <v>1.0600266666666669</v>
      </c>
      <c r="H6" s="131">
        <f>(G6+I6)/2</f>
        <v>0.90501333333333345</v>
      </c>
      <c r="I6" s="131">
        <v>0.75</v>
      </c>
      <c r="J6" s="131">
        <f t="shared" si="2"/>
        <v>0.65600000000000003</v>
      </c>
      <c r="K6" s="131">
        <f t="shared" si="3"/>
        <v>0.8746666666666667</v>
      </c>
      <c r="L6" s="131">
        <v>0.53</v>
      </c>
      <c r="M6" s="131">
        <v>0.4</v>
      </c>
      <c r="N6" s="131">
        <f t="shared" si="4"/>
        <v>0.21582089552238806</v>
      </c>
      <c r="O6" s="131">
        <f t="shared" si="7"/>
        <v>1.7551141952225349</v>
      </c>
      <c r="P6" s="131">
        <f t="shared" si="5"/>
        <v>1.7921245103691138E-2</v>
      </c>
      <c r="Q6" s="131">
        <f t="shared" si="6"/>
        <v>0.5</v>
      </c>
      <c r="R6" s="131">
        <v>35.299999999999997</v>
      </c>
      <c r="S6" s="131">
        <f>1-0.677</f>
        <v>0.32299999999999995</v>
      </c>
      <c r="T6" s="131">
        <f>(R6/100+S6)/2</f>
        <v>0.33799999999999997</v>
      </c>
      <c r="U6" s="131">
        <v>6.6000000000000003E-2</v>
      </c>
      <c r="V6" s="131">
        <f>1-0.29</f>
        <v>0.71</v>
      </c>
      <c r="W6" s="131">
        <f>(V6+U6+J6)/3</f>
        <v>0.47733333333333333</v>
      </c>
      <c r="X6" s="131">
        <f>35/113</f>
        <v>0.30973451327433627</v>
      </c>
      <c r="Y6" s="131">
        <f>X6</f>
        <v>0.30973451327433627</v>
      </c>
      <c r="Z6" s="131">
        <f t="shared" si="8"/>
        <v>146.7531962641543</v>
      </c>
      <c r="AA6" s="13"/>
      <c r="AB6" s="13"/>
      <c r="AC6" s="13"/>
      <c r="AD6" s="75"/>
      <c r="AE6" s="13"/>
    </row>
    <row r="7" spans="1:31" ht="14">
      <c r="A7" s="164" t="s">
        <v>7</v>
      </c>
      <c r="B7" s="181">
        <v>1</v>
      </c>
      <c r="C7" s="181">
        <v>1</v>
      </c>
      <c r="D7" s="182" t="s">
        <v>8</v>
      </c>
      <c r="E7" s="131">
        <f t="shared" si="0"/>
        <v>1</v>
      </c>
      <c r="F7" s="131"/>
      <c r="G7" s="131">
        <f t="shared" si="1"/>
        <v>-1</v>
      </c>
      <c r="H7" s="131">
        <v>0.75</v>
      </c>
      <c r="I7" s="131">
        <v>0.75</v>
      </c>
      <c r="J7" s="131">
        <f t="shared" si="2"/>
        <v>0.19000000000000006</v>
      </c>
      <c r="K7" s="131">
        <f t="shared" si="3"/>
        <v>0.25333333333333341</v>
      </c>
      <c r="L7" s="131">
        <v>0</v>
      </c>
      <c r="M7" s="131">
        <v>0.2</v>
      </c>
      <c r="N7" s="131">
        <f t="shared" si="4"/>
        <v>0.1</v>
      </c>
      <c r="O7" s="131">
        <f t="shared" si="7"/>
        <v>2.9822160546930476</v>
      </c>
      <c r="P7" s="131">
        <f t="shared" si="5"/>
        <v>0.87253763850906763</v>
      </c>
      <c r="Q7" s="131">
        <f t="shared" si="6"/>
        <v>1</v>
      </c>
      <c r="R7" s="131"/>
      <c r="S7" s="131">
        <f>1-0.824</f>
        <v>0.17600000000000005</v>
      </c>
      <c r="T7" s="131">
        <f>S7</f>
        <v>0.17600000000000005</v>
      </c>
      <c r="U7" s="131"/>
      <c r="V7" s="131">
        <v>1.18</v>
      </c>
      <c r="W7" s="131">
        <f>(V7+K7)/2</f>
        <v>0.71666666666666667</v>
      </c>
      <c r="X7" s="131" t="s">
        <v>223</v>
      </c>
      <c r="Y7" s="131">
        <v>0.2</v>
      </c>
      <c r="Z7" s="131">
        <f t="shared" si="8"/>
        <v>3.0141966190638643</v>
      </c>
      <c r="AA7" s="57">
        <v>36</v>
      </c>
      <c r="AB7" s="57">
        <v>35</v>
      </c>
      <c r="AC7" s="57">
        <v>29.8</v>
      </c>
      <c r="AD7" s="57"/>
      <c r="AE7" s="57">
        <v>2.48</v>
      </c>
    </row>
    <row r="8" spans="1:31" ht="14">
      <c r="A8" s="164" t="s">
        <v>9</v>
      </c>
      <c r="B8" s="181">
        <v>6</v>
      </c>
      <c r="C8" s="181">
        <v>5</v>
      </c>
      <c r="D8" s="182" t="s">
        <v>4</v>
      </c>
      <c r="E8" s="131">
        <f t="shared" si="0"/>
        <v>2.5</v>
      </c>
      <c r="F8" s="131">
        <v>44.7</v>
      </c>
      <c r="G8" s="131">
        <f t="shared" si="1"/>
        <v>2.4359400000000004</v>
      </c>
      <c r="H8" s="131">
        <f>(G8+I8)/2</f>
        <v>1.5529700000000002</v>
      </c>
      <c r="I8" s="131">
        <v>0.67</v>
      </c>
      <c r="J8" s="131">
        <f t="shared" si="2"/>
        <v>0.66800000000000004</v>
      </c>
      <c r="K8" s="131">
        <f t="shared" si="3"/>
        <v>0.89066666666666672</v>
      </c>
      <c r="L8" s="131">
        <v>0.14000000000000001</v>
      </c>
      <c r="M8" s="131">
        <v>0.2</v>
      </c>
      <c r="N8" s="131">
        <f t="shared" si="4"/>
        <v>0.10417910447761194</v>
      </c>
      <c r="O8" s="131">
        <f t="shared" si="7"/>
        <v>1.8324734507270797</v>
      </c>
      <c r="P8" s="131">
        <f t="shared" si="5"/>
        <v>4.5050531874738769E-3</v>
      </c>
      <c r="Q8" s="131">
        <f t="shared" si="6"/>
        <v>0.5</v>
      </c>
      <c r="R8" s="131"/>
      <c r="S8" s="131">
        <v>0.59699999999999998</v>
      </c>
      <c r="T8" s="131">
        <f>S8</f>
        <v>0.59699999999999998</v>
      </c>
      <c r="U8" s="131">
        <v>0.245</v>
      </c>
      <c r="V8" s="131">
        <v>0.63</v>
      </c>
      <c r="W8" s="131">
        <f>(V8+U8+J8)/3</f>
        <v>0.51433333333333342</v>
      </c>
      <c r="X8" s="131" t="s">
        <v>225</v>
      </c>
      <c r="Y8" s="131">
        <v>0.1</v>
      </c>
      <c r="Z8" s="131">
        <f t="shared" si="8"/>
        <v>583.78889006518534</v>
      </c>
      <c r="AA8" s="15">
        <v>12.5</v>
      </c>
      <c r="AB8" s="15">
        <v>13.4</v>
      </c>
      <c r="AC8" s="15">
        <v>2.8</v>
      </c>
      <c r="AD8" s="15"/>
      <c r="AE8" s="15">
        <v>5.86</v>
      </c>
    </row>
    <row r="9" spans="1:31" ht="14">
      <c r="A9" s="164" t="s">
        <v>193</v>
      </c>
      <c r="B9" s="181">
        <v>3</v>
      </c>
      <c r="C9" s="181">
        <v>2</v>
      </c>
      <c r="D9" s="182" t="s">
        <v>8</v>
      </c>
      <c r="E9" s="131">
        <f t="shared" si="0"/>
        <v>1.5</v>
      </c>
      <c r="F9" s="131"/>
      <c r="G9" s="131">
        <f t="shared" si="1"/>
        <v>-1</v>
      </c>
      <c r="H9" s="131">
        <v>0.75</v>
      </c>
      <c r="I9" s="131">
        <v>0.75</v>
      </c>
      <c r="J9" s="131">
        <f t="shared" si="2"/>
        <v>0.66800000000000004</v>
      </c>
      <c r="K9" s="131">
        <f t="shared" si="3"/>
        <v>0.89066666666666672</v>
      </c>
      <c r="L9" s="131">
        <v>0.03</v>
      </c>
      <c r="M9" s="131">
        <v>0.2</v>
      </c>
      <c r="N9" s="131">
        <f t="shared" si="4"/>
        <v>0.10089552238805971</v>
      </c>
      <c r="O9" s="131">
        <f t="shared" si="7"/>
        <v>3.3553482171871303</v>
      </c>
      <c r="P9" s="131">
        <f t="shared" si="5"/>
        <v>0.19294319932814591</v>
      </c>
      <c r="Q9" s="131">
        <f t="shared" si="6"/>
        <v>0.83333333333333337</v>
      </c>
      <c r="R9" s="131"/>
      <c r="S9" s="184">
        <v>0.43</v>
      </c>
      <c r="T9" s="131">
        <f>S9</f>
        <v>0.43</v>
      </c>
      <c r="U9" s="131">
        <v>1.3</v>
      </c>
      <c r="V9" s="131">
        <v>0.8</v>
      </c>
      <c r="W9" s="131">
        <f>(V9+U9+J9)/3</f>
        <v>0.92266666666666675</v>
      </c>
      <c r="X9" s="131" t="s">
        <v>225</v>
      </c>
      <c r="Y9" s="131">
        <v>0.1</v>
      </c>
      <c r="Z9" s="131">
        <f t="shared" si="8"/>
        <v>13.630954649648251</v>
      </c>
      <c r="AA9" s="25">
        <v>23</v>
      </c>
      <c r="AB9" s="25">
        <v>9.6999999999999993</v>
      </c>
      <c r="AC9" s="25">
        <v>37</v>
      </c>
      <c r="AD9" s="75"/>
      <c r="AE9" s="25">
        <v>3.44</v>
      </c>
    </row>
    <row r="10" spans="1:31" ht="14">
      <c r="A10" s="164" t="s">
        <v>10</v>
      </c>
      <c r="B10" s="181">
        <v>2</v>
      </c>
      <c r="C10" s="181">
        <v>2</v>
      </c>
      <c r="D10" s="182" t="s">
        <v>8</v>
      </c>
      <c r="E10" s="131">
        <f t="shared" si="0"/>
        <v>1.3333333333333333</v>
      </c>
      <c r="F10" s="131">
        <v>29.5</v>
      </c>
      <c r="G10" s="131">
        <f t="shared" si="1"/>
        <v>1.2675666666666667</v>
      </c>
      <c r="H10" s="131">
        <f t="shared" ref="H10:H15" si="9">(G10+I10)/2</f>
        <v>1.0087833333333334</v>
      </c>
      <c r="I10" s="131">
        <v>0.75</v>
      </c>
      <c r="J10" s="131">
        <f t="shared" si="2"/>
        <v>0.31600000000000006</v>
      </c>
      <c r="K10" s="131">
        <f t="shared" si="3"/>
        <v>0.42133333333333339</v>
      </c>
      <c r="L10" s="131">
        <v>0.87</v>
      </c>
      <c r="M10" s="131">
        <v>0.6</v>
      </c>
      <c r="N10" s="131">
        <f t="shared" si="4"/>
        <v>0.32597014925373136</v>
      </c>
      <c r="O10" s="131">
        <f t="shared" si="7"/>
        <v>2.1427157661507343</v>
      </c>
      <c r="P10" s="131">
        <f t="shared" si="5"/>
        <v>0.25297484003437604</v>
      </c>
      <c r="Q10" s="131">
        <f t="shared" si="6"/>
        <v>0.88888888888888895</v>
      </c>
      <c r="R10" s="131">
        <v>48.5</v>
      </c>
      <c r="S10" s="131">
        <v>0.22500000000000001</v>
      </c>
      <c r="T10" s="131">
        <f>(R10/100+S10)/2</f>
        <v>0.35499999999999998</v>
      </c>
      <c r="U10" s="131">
        <v>0.43</v>
      </c>
      <c r="V10" s="131">
        <v>0.2</v>
      </c>
      <c r="W10" s="131">
        <f>(V10+U10+J10)/3</f>
        <v>0.31533333333333335</v>
      </c>
      <c r="X10" s="131">
        <f>0.5*(0.27338+0.1)</f>
        <v>0.18669000000000002</v>
      </c>
      <c r="Y10" s="131">
        <v>0.187</v>
      </c>
      <c r="Z10" s="131">
        <f t="shared" si="8"/>
        <v>10.396290791774458</v>
      </c>
      <c r="AA10" s="15" t="s">
        <v>223</v>
      </c>
      <c r="AB10" s="15">
        <v>2.9</v>
      </c>
      <c r="AC10" s="15">
        <v>7.8E-2</v>
      </c>
      <c r="AD10" s="75"/>
      <c r="AE10" s="108">
        <v>8.1</v>
      </c>
    </row>
    <row r="11" spans="1:31" ht="14">
      <c r="A11" s="164" t="s">
        <v>11</v>
      </c>
      <c r="B11" s="181">
        <v>6</v>
      </c>
      <c r="C11" s="181">
        <v>4</v>
      </c>
      <c r="D11" s="182" t="s">
        <v>3</v>
      </c>
      <c r="E11" s="131">
        <f t="shared" si="0"/>
        <v>2.333333333333333</v>
      </c>
      <c r="F11" s="131">
        <v>25.4</v>
      </c>
      <c r="G11" s="131">
        <f t="shared" si="1"/>
        <v>0.95241333333333311</v>
      </c>
      <c r="H11" s="131">
        <f t="shared" si="9"/>
        <v>0.85120666666666656</v>
      </c>
      <c r="I11" s="131">
        <v>0.75</v>
      </c>
      <c r="J11" s="131">
        <f t="shared" si="2"/>
        <v>0.59099999999999997</v>
      </c>
      <c r="K11" s="131">
        <f t="shared" si="3"/>
        <v>0.78799999999999992</v>
      </c>
      <c r="L11" s="131">
        <v>7.0000000000000007E-2</v>
      </c>
      <c r="M11" s="131">
        <v>0.2</v>
      </c>
      <c r="N11" s="131">
        <f t="shared" si="4"/>
        <v>0.10208955223880598</v>
      </c>
      <c r="O11" s="131">
        <f t="shared" si="7"/>
        <v>2.1358518203975017</v>
      </c>
      <c r="P11" s="131">
        <f t="shared" si="5"/>
        <v>4.5227920865513985E-2</v>
      </c>
      <c r="Q11" s="131">
        <f t="shared" si="6"/>
        <v>0.55555555555555558</v>
      </c>
      <c r="R11" s="131">
        <v>30.9</v>
      </c>
      <c r="S11" s="131">
        <v>0.30499999999999999</v>
      </c>
      <c r="T11" s="131">
        <f>(R11/100+S11)/2</f>
        <v>0.307</v>
      </c>
      <c r="U11" s="131"/>
      <c r="V11" s="131">
        <v>0.54</v>
      </c>
      <c r="W11" s="131">
        <f>(V11+K11)/2</f>
        <v>0.66399999999999992</v>
      </c>
      <c r="X11" s="131">
        <f>47/119</f>
        <v>0.3949579831932773</v>
      </c>
      <c r="Y11" s="131">
        <f>X11</f>
        <v>0.3949579831932773</v>
      </c>
      <c r="Z11" s="131">
        <f t="shared" si="8"/>
        <v>58.149920440082823</v>
      </c>
      <c r="AA11" s="15">
        <v>40.5</v>
      </c>
      <c r="AB11" s="15" t="s">
        <v>223</v>
      </c>
      <c r="AC11" s="15">
        <v>7.8E-2</v>
      </c>
      <c r="AD11" s="75"/>
      <c r="AE11" s="15">
        <v>3.32</v>
      </c>
    </row>
    <row r="12" spans="1:31" ht="14">
      <c r="A12" s="164" t="s">
        <v>12</v>
      </c>
      <c r="B12" s="181">
        <v>1</v>
      </c>
      <c r="C12" s="181">
        <v>1</v>
      </c>
      <c r="D12" s="182" t="s">
        <v>8</v>
      </c>
      <c r="E12" s="131">
        <f t="shared" si="0"/>
        <v>1</v>
      </c>
      <c r="F12" s="131">
        <v>25.4</v>
      </c>
      <c r="G12" s="131">
        <f t="shared" si="1"/>
        <v>0.95241333333333311</v>
      </c>
      <c r="H12" s="131">
        <f t="shared" si="9"/>
        <v>0.85120666666666656</v>
      </c>
      <c r="I12" s="131">
        <v>0.75</v>
      </c>
      <c r="J12" s="131">
        <f t="shared" si="2"/>
        <v>7.7999999999999958E-2</v>
      </c>
      <c r="K12" s="131">
        <f t="shared" si="3"/>
        <v>0.10399999999999994</v>
      </c>
      <c r="L12" s="131">
        <v>1.31</v>
      </c>
      <c r="M12" s="131">
        <v>0.6</v>
      </c>
      <c r="N12" s="131">
        <f t="shared" si="4"/>
        <v>0.33910447761194029</v>
      </c>
      <c r="O12" s="131">
        <f t="shared" si="7"/>
        <v>2.1831349729371716</v>
      </c>
      <c r="P12" s="131">
        <f t="shared" si="5"/>
        <v>0.7208477723140414</v>
      </c>
      <c r="Q12" s="131">
        <f t="shared" si="6"/>
        <v>1</v>
      </c>
      <c r="R12" s="131">
        <v>30.5</v>
      </c>
      <c r="S12" s="131">
        <f>1-0.937</f>
        <v>6.2999999999999945E-2</v>
      </c>
      <c r="T12" s="131">
        <f>(R12/100+S12)/2</f>
        <v>0.18399999999999997</v>
      </c>
      <c r="U12" s="131">
        <v>0.30299999999999999</v>
      </c>
      <c r="V12" s="131">
        <v>0.82</v>
      </c>
      <c r="W12" s="131">
        <f>(V12+U12+J12)/3</f>
        <v>0.40033333333333337</v>
      </c>
      <c r="X12" s="131">
        <f>22/112</f>
        <v>0.19642857142857142</v>
      </c>
      <c r="Y12" s="131">
        <f>X12</f>
        <v>0.19642857142857142</v>
      </c>
      <c r="Z12" s="131">
        <f t="shared" si="8"/>
        <v>3.6484818307161606</v>
      </c>
      <c r="AA12" s="15">
        <v>23</v>
      </c>
      <c r="AB12" s="15">
        <v>11</v>
      </c>
      <c r="AC12" s="15">
        <v>21</v>
      </c>
      <c r="AD12" s="75"/>
      <c r="AE12" s="15">
        <v>3.32</v>
      </c>
    </row>
    <row r="13" spans="1:31" ht="14">
      <c r="A13" s="164" t="s">
        <v>13</v>
      </c>
      <c r="B13" s="181">
        <v>1</v>
      </c>
      <c r="C13" s="181">
        <v>1</v>
      </c>
      <c r="D13" s="182" t="s">
        <v>8</v>
      </c>
      <c r="E13" s="131">
        <f t="shared" si="0"/>
        <v>1</v>
      </c>
      <c r="F13" s="131">
        <v>22</v>
      </c>
      <c r="G13" s="131">
        <f t="shared" si="1"/>
        <v>0.69106666666666672</v>
      </c>
      <c r="H13" s="131">
        <f t="shared" si="9"/>
        <v>0.72053333333333336</v>
      </c>
      <c r="I13" s="131">
        <v>0.75</v>
      </c>
      <c r="J13" s="131">
        <f t="shared" si="2"/>
        <v>0.15100000000000002</v>
      </c>
      <c r="K13" s="131">
        <f t="shared" si="3"/>
        <v>0.20133333333333336</v>
      </c>
      <c r="L13" s="131">
        <v>0.87</v>
      </c>
      <c r="M13" s="131">
        <v>0.4</v>
      </c>
      <c r="N13" s="131">
        <f t="shared" si="4"/>
        <v>0.22597014925373135</v>
      </c>
      <c r="O13" s="131">
        <f t="shared" si="7"/>
        <v>2.0405558010074905</v>
      </c>
      <c r="P13" s="131">
        <f t="shared" si="5"/>
        <v>0.83455805497108349</v>
      </c>
      <c r="Q13" s="131">
        <f t="shared" si="6"/>
        <v>1</v>
      </c>
      <c r="R13" s="131">
        <v>30.5</v>
      </c>
      <c r="S13" s="131">
        <f>1-0.851</f>
        <v>0.14900000000000002</v>
      </c>
      <c r="T13" s="131">
        <f>(R13/100+S13)/2</f>
        <v>0.22700000000000001</v>
      </c>
      <c r="U13" s="131">
        <v>0.72099999999999997</v>
      </c>
      <c r="V13" s="131">
        <v>0.67</v>
      </c>
      <c r="W13" s="131">
        <f>(V13+U13+J13)/3</f>
        <v>0.51400000000000001</v>
      </c>
      <c r="X13" s="131">
        <f>-3/108</f>
        <v>-2.7777777777777776E-2</v>
      </c>
      <c r="Y13" s="131">
        <f>X13</f>
        <v>-2.7777777777777776E-2</v>
      </c>
      <c r="Z13" s="131">
        <f t="shared" si="8"/>
        <v>3.1513685409113048</v>
      </c>
      <c r="AA13" s="107">
        <v>30</v>
      </c>
      <c r="AB13" s="107">
        <v>7.2</v>
      </c>
      <c r="AC13" s="107">
        <v>40</v>
      </c>
      <c r="AD13" s="107"/>
      <c r="AE13" s="107">
        <v>6.84</v>
      </c>
    </row>
    <row r="14" spans="1:31" ht="14">
      <c r="A14" s="164" t="s">
        <v>14</v>
      </c>
      <c r="B14" s="181">
        <v>6</v>
      </c>
      <c r="C14" s="181">
        <v>5</v>
      </c>
      <c r="D14" s="182" t="s">
        <v>4</v>
      </c>
      <c r="E14" s="131">
        <f t="shared" si="0"/>
        <v>2.5</v>
      </c>
      <c r="F14" s="131">
        <v>27.4</v>
      </c>
      <c r="G14" s="131">
        <f t="shared" si="1"/>
        <v>1.1061466666666666</v>
      </c>
      <c r="H14" s="131">
        <f t="shared" si="9"/>
        <v>0.92807333333333331</v>
      </c>
      <c r="I14" s="131">
        <v>0.75</v>
      </c>
      <c r="J14" s="131">
        <f t="shared" si="2"/>
        <v>0.68500000000000005</v>
      </c>
      <c r="K14" s="131">
        <f t="shared" si="3"/>
        <v>0.91333333333333344</v>
      </c>
      <c r="L14" s="131">
        <v>0.09</v>
      </c>
      <c r="M14" s="131">
        <v>0.2</v>
      </c>
      <c r="N14" s="131">
        <f t="shared" si="4"/>
        <v>0.10268656716417911</v>
      </c>
      <c r="O14" s="131">
        <f t="shared" si="7"/>
        <v>1.2534253233187707</v>
      </c>
      <c r="P14" s="131">
        <f t="shared" si="5"/>
        <v>2.0379022044331251E-2</v>
      </c>
      <c r="Q14" s="131">
        <f t="shared" si="6"/>
        <v>0.5</v>
      </c>
      <c r="R14" s="131">
        <v>33.5</v>
      </c>
      <c r="S14" s="131">
        <f>1-0.713</f>
        <v>0.28700000000000003</v>
      </c>
      <c r="T14" s="131">
        <f>(R14/100+S14)/2</f>
        <v>0.31100000000000005</v>
      </c>
      <c r="U14" s="131">
        <v>4.7E-2</v>
      </c>
      <c r="V14" s="131">
        <v>0.98</v>
      </c>
      <c r="W14" s="131">
        <f>(V14+U14+J14)/3</f>
        <v>0.57066666666666666</v>
      </c>
      <c r="X14" s="131">
        <f>-92/214</f>
        <v>-0.42990654205607476</v>
      </c>
      <c r="Y14" s="131">
        <f>X14</f>
        <v>-0.42990654205607476</v>
      </c>
      <c r="Z14" s="131">
        <f t="shared" si="8"/>
        <v>129.05427916407677</v>
      </c>
      <c r="AA14" s="15">
        <v>34.1</v>
      </c>
      <c r="AB14" s="15">
        <v>5.9</v>
      </c>
      <c r="AC14" s="15">
        <v>3.27</v>
      </c>
      <c r="AD14" s="75"/>
      <c r="AE14" s="15">
        <v>4.09</v>
      </c>
    </row>
    <row r="15" spans="1:31" ht="14">
      <c r="A15" s="164" t="s">
        <v>15</v>
      </c>
      <c r="B15" s="181">
        <v>1</v>
      </c>
      <c r="C15" s="181">
        <v>1</v>
      </c>
      <c r="D15" s="182" t="s">
        <v>8</v>
      </c>
      <c r="E15" s="131">
        <f t="shared" si="0"/>
        <v>1</v>
      </c>
      <c r="F15" s="131">
        <v>27</v>
      </c>
      <c r="G15" s="131">
        <f t="shared" si="1"/>
        <v>1.0754000000000001</v>
      </c>
      <c r="H15" s="131">
        <f t="shared" si="9"/>
        <v>0.87270000000000003</v>
      </c>
      <c r="I15" s="131">
        <v>0.67</v>
      </c>
      <c r="J15" s="131">
        <f t="shared" si="2"/>
        <v>0.19000000000000006</v>
      </c>
      <c r="K15" s="131">
        <f t="shared" si="3"/>
        <v>0.25333333333333341</v>
      </c>
      <c r="L15" s="131">
        <v>0.08</v>
      </c>
      <c r="M15" s="131">
        <v>0.2</v>
      </c>
      <c r="N15" s="131">
        <f t="shared" si="4"/>
        <v>0.10238805970149255</v>
      </c>
      <c r="O15" s="131">
        <f t="shared" si="7"/>
        <v>2.6623942353960262</v>
      </c>
      <c r="P15" s="131">
        <f t="shared" si="5"/>
        <v>0.76994395935214599</v>
      </c>
      <c r="Q15" s="131">
        <f t="shared" si="6"/>
        <v>1</v>
      </c>
      <c r="R15" s="131"/>
      <c r="S15" s="131">
        <f>1-0.784</f>
        <v>0.21599999999999997</v>
      </c>
      <c r="T15" s="131">
        <f>S15</f>
        <v>0.21599999999999997</v>
      </c>
      <c r="U15" s="131"/>
      <c r="V15" s="131">
        <v>0.8</v>
      </c>
      <c r="W15" s="131">
        <f>(V15+K15)/2</f>
        <v>0.52666666666666673</v>
      </c>
      <c r="X15" s="131">
        <f>22/93</f>
        <v>0.23655913978494625</v>
      </c>
      <c r="Y15" s="131">
        <f>X15</f>
        <v>0.23655913978494625</v>
      </c>
      <c r="Z15" s="131">
        <f t="shared" si="8"/>
        <v>3.4158330201239075</v>
      </c>
      <c r="AA15" s="57" t="s">
        <v>223</v>
      </c>
      <c r="AB15" s="57">
        <v>5</v>
      </c>
      <c r="AC15" s="57">
        <v>23</v>
      </c>
      <c r="AD15" s="57"/>
      <c r="AE15" s="57">
        <v>9.2200000000000006</v>
      </c>
    </row>
    <row r="16" spans="1:31" ht="14">
      <c r="A16" s="164" t="s">
        <v>16</v>
      </c>
      <c r="B16" s="181">
        <v>6</v>
      </c>
      <c r="C16" s="181">
        <v>5</v>
      </c>
      <c r="D16" s="182" t="s">
        <v>4</v>
      </c>
      <c r="E16" s="131">
        <f t="shared" si="0"/>
        <v>2.5</v>
      </c>
      <c r="F16" s="131"/>
      <c r="G16" s="131">
        <f t="shared" si="1"/>
        <v>-1</v>
      </c>
      <c r="H16" s="131">
        <v>0.75</v>
      </c>
      <c r="I16" s="131">
        <v>0.75</v>
      </c>
      <c r="J16" s="131">
        <f t="shared" si="2"/>
        <v>0.65100000000000002</v>
      </c>
      <c r="K16" s="131">
        <f t="shared" si="3"/>
        <v>0.86799999999999999</v>
      </c>
      <c r="L16" s="131">
        <v>0.08</v>
      </c>
      <c r="M16" s="131">
        <v>0.2</v>
      </c>
      <c r="N16" s="131">
        <f t="shared" si="4"/>
        <v>0.10238805970149255</v>
      </c>
      <c r="O16" s="131">
        <f t="shared" si="7"/>
        <v>1.6907406150003872</v>
      </c>
      <c r="P16" s="131">
        <f t="shared" si="5"/>
        <v>3.5650706912918349E-2</v>
      </c>
      <c r="Q16" s="131">
        <f t="shared" si="6"/>
        <v>0.5</v>
      </c>
      <c r="R16" s="131"/>
      <c r="S16" s="131">
        <f>1-0.801</f>
        <v>0.19899999999999995</v>
      </c>
      <c r="T16" s="131">
        <f>S16</f>
        <v>0.19899999999999995</v>
      </c>
      <c r="U16" s="131">
        <v>0.753</v>
      </c>
      <c r="V16" s="131">
        <v>0.85</v>
      </c>
      <c r="W16" s="131">
        <f>(V16+U16+J16)/3</f>
        <v>0.7513333333333333</v>
      </c>
      <c r="X16" s="131" t="s">
        <v>225</v>
      </c>
      <c r="Y16" s="131">
        <v>0.1</v>
      </c>
      <c r="Z16" s="131">
        <f t="shared" si="8"/>
        <v>73.771328193410838</v>
      </c>
      <c r="AA16" s="49">
        <v>6</v>
      </c>
      <c r="AB16" s="49">
        <v>5.4</v>
      </c>
      <c r="AC16" s="49">
        <v>8.4499999999999993</v>
      </c>
      <c r="AD16" s="49"/>
      <c r="AE16" s="49">
        <v>8.49</v>
      </c>
    </row>
    <row r="17" spans="1:31" ht="14">
      <c r="A17" s="164" t="s">
        <v>17</v>
      </c>
      <c r="B17" s="181">
        <v>3</v>
      </c>
      <c r="C17" s="181">
        <v>4</v>
      </c>
      <c r="D17" s="182" t="s">
        <v>3</v>
      </c>
      <c r="E17" s="131">
        <f t="shared" si="0"/>
        <v>1.8333333333333335</v>
      </c>
      <c r="F17" s="131">
        <v>26.6</v>
      </c>
      <c r="G17" s="131">
        <f t="shared" si="1"/>
        <v>1.0446533333333337</v>
      </c>
      <c r="H17" s="131">
        <f>(G17+I17)/2</f>
        <v>0.89732666666666683</v>
      </c>
      <c r="I17" s="183">
        <f>3/4</f>
        <v>0.75</v>
      </c>
      <c r="J17" s="131">
        <f t="shared" si="2"/>
        <v>0.41300000000000003</v>
      </c>
      <c r="K17" s="131">
        <f t="shared" si="3"/>
        <v>0.55066666666666675</v>
      </c>
      <c r="L17" s="131">
        <v>0.24</v>
      </c>
      <c r="M17" s="131">
        <v>0.2</v>
      </c>
      <c r="N17" s="131">
        <f t="shared" si="4"/>
        <v>0.10716417910447762</v>
      </c>
      <c r="O17" s="131">
        <f t="shared" si="7"/>
        <v>1.5944499320771715</v>
      </c>
      <c r="P17" s="131">
        <f t="shared" si="5"/>
        <v>0.15195995300127113</v>
      </c>
      <c r="Q17" s="131">
        <f t="shared" si="6"/>
        <v>0.7222222222222221</v>
      </c>
      <c r="R17" s="131">
        <v>33.5</v>
      </c>
      <c r="S17" s="131">
        <f>1-0.469</f>
        <v>0.53100000000000003</v>
      </c>
      <c r="T17" s="131">
        <f>(R17/100+S17)/2</f>
        <v>0.43300000000000005</v>
      </c>
      <c r="U17" s="131">
        <v>0.36699999999999999</v>
      </c>
      <c r="V17" s="131">
        <f>1-0.63</f>
        <v>0.37</v>
      </c>
      <c r="W17" s="131">
        <f>(V17+U17+J17)/3</f>
        <v>0.3833333333333333</v>
      </c>
      <c r="X17" s="131">
        <f>-23/135</f>
        <v>-0.17037037037037037</v>
      </c>
      <c r="Y17" s="131">
        <f>X17</f>
        <v>-0.17037037037037037</v>
      </c>
      <c r="Z17" s="131">
        <f t="shared" si="8"/>
        <v>17.307191454435369</v>
      </c>
      <c r="AA17" s="15">
        <v>11</v>
      </c>
      <c r="AB17" s="15">
        <v>1</v>
      </c>
      <c r="AC17" s="15">
        <v>9.23</v>
      </c>
      <c r="AD17" s="75"/>
      <c r="AE17" s="15">
        <v>3.15</v>
      </c>
    </row>
    <row r="18" spans="1:31" ht="14">
      <c r="A18" s="164" t="s">
        <v>18</v>
      </c>
      <c r="B18" s="181">
        <v>1</v>
      </c>
      <c r="C18" s="181">
        <v>1</v>
      </c>
      <c r="D18" s="182" t="s">
        <v>8</v>
      </c>
      <c r="E18" s="131">
        <f t="shared" si="0"/>
        <v>1</v>
      </c>
      <c r="F18" s="131"/>
      <c r="G18" s="131">
        <f t="shared" si="1"/>
        <v>-1</v>
      </c>
      <c r="H18" s="131">
        <v>0.75</v>
      </c>
      <c r="I18" s="131">
        <v>0.75</v>
      </c>
      <c r="J18" s="131">
        <f t="shared" si="2"/>
        <v>0.19000000000000006</v>
      </c>
      <c r="K18" s="131">
        <f t="shared" si="3"/>
        <v>0.25333333333333341</v>
      </c>
      <c r="L18" s="131">
        <v>0.06</v>
      </c>
      <c r="M18" s="131">
        <v>0.2</v>
      </c>
      <c r="N18" s="131">
        <f t="shared" si="4"/>
        <v>0.1017910447761194</v>
      </c>
      <c r="O18" s="131">
        <f t="shared" si="7"/>
        <v>2.7047243412794519</v>
      </c>
      <c r="P18" s="131">
        <f t="shared" si="5"/>
        <v>0.87097628317568687</v>
      </c>
      <c r="Q18" s="131">
        <f t="shared" si="6"/>
        <v>1</v>
      </c>
      <c r="R18" s="131"/>
      <c r="S18" s="131">
        <f>1-0.788</f>
        <v>0.21199999999999997</v>
      </c>
      <c r="T18" s="131">
        <f>S18</f>
        <v>0.21199999999999997</v>
      </c>
      <c r="U18" s="131">
        <v>1.0389999999999999</v>
      </c>
      <c r="V18" s="131">
        <v>0.82</v>
      </c>
      <c r="W18" s="131">
        <f>(V18+U18+J18)/3</f>
        <v>0.68299999999999994</v>
      </c>
      <c r="X18" s="131" t="s">
        <v>223</v>
      </c>
      <c r="Y18" s="131">
        <v>0.1</v>
      </c>
      <c r="Z18" s="131">
        <f t="shared" si="8"/>
        <v>3.0196000175925524</v>
      </c>
      <c r="AA18" s="15">
        <v>9.3000000000000007</v>
      </c>
      <c r="AB18" s="15">
        <v>14.2</v>
      </c>
      <c r="AC18" s="15">
        <v>3.5000000000000003E-2</v>
      </c>
      <c r="AD18" s="75"/>
      <c r="AE18" s="108">
        <v>8.1</v>
      </c>
    </row>
    <row r="19" spans="1:31" ht="14">
      <c r="A19" s="164" t="s">
        <v>19</v>
      </c>
      <c r="B19" s="181">
        <v>7</v>
      </c>
      <c r="C19" s="181">
        <v>6</v>
      </c>
      <c r="D19" s="182" t="s">
        <v>4</v>
      </c>
      <c r="E19" s="131">
        <f t="shared" si="0"/>
        <v>2.833333333333333</v>
      </c>
      <c r="F19" s="131">
        <v>21.9</v>
      </c>
      <c r="G19" s="131">
        <f t="shared" si="1"/>
        <v>0.68337999999999988</v>
      </c>
      <c r="H19" s="131">
        <f>(G19+I19)/2</f>
        <v>0.71668999999999994</v>
      </c>
      <c r="I19" s="131">
        <v>0.75</v>
      </c>
      <c r="J19" s="131">
        <f t="shared" si="2"/>
        <v>0.66600000000000004</v>
      </c>
      <c r="K19" s="131">
        <f t="shared" si="3"/>
        <v>0.88800000000000001</v>
      </c>
      <c r="L19" s="131">
        <v>0.18</v>
      </c>
      <c r="M19" s="131">
        <v>0.2</v>
      </c>
      <c r="N19" s="131">
        <f t="shared" si="4"/>
        <v>0.10537313432835821</v>
      </c>
      <c r="O19" s="131">
        <f t="shared" si="7"/>
        <v>1.5708672476380694</v>
      </c>
      <c r="P19" s="131">
        <f t="shared" si="5"/>
        <v>2.068813287004374E-2</v>
      </c>
      <c r="Q19" s="131">
        <f t="shared" si="6"/>
        <v>0.38888888888888895</v>
      </c>
      <c r="R19" s="131">
        <v>27.2</v>
      </c>
      <c r="S19" s="131">
        <f>1-0.732</f>
        <v>0.26800000000000002</v>
      </c>
      <c r="T19" s="131">
        <f>(R19/100+S19)/2</f>
        <v>0.27</v>
      </c>
      <c r="U19" s="131"/>
      <c r="V19" s="131">
        <v>0.47</v>
      </c>
      <c r="W19" s="131">
        <f>(V19+K19)/2</f>
        <v>0.67900000000000005</v>
      </c>
      <c r="X19" s="131">
        <f>31/146</f>
        <v>0.21232876712328766</v>
      </c>
      <c r="Y19" s="131">
        <f>X19</f>
        <v>0.21232876712328766</v>
      </c>
      <c r="Z19" s="131">
        <f t="shared" si="8"/>
        <v>127.12602033836606</v>
      </c>
      <c r="AA19" s="45" t="s">
        <v>223</v>
      </c>
      <c r="AB19" s="45">
        <v>15</v>
      </c>
      <c r="AC19" s="45">
        <v>1.234</v>
      </c>
      <c r="AD19" s="45"/>
      <c r="AE19" s="45">
        <v>3.49</v>
      </c>
    </row>
    <row r="20" spans="1:31" ht="14">
      <c r="A20" s="164" t="s">
        <v>20</v>
      </c>
      <c r="B20" s="181">
        <v>1</v>
      </c>
      <c r="C20" s="181">
        <v>1</v>
      </c>
      <c r="D20" s="182" t="s">
        <v>8</v>
      </c>
      <c r="E20" s="131">
        <f t="shared" si="0"/>
        <v>1</v>
      </c>
      <c r="F20" s="131">
        <v>28.4</v>
      </c>
      <c r="G20" s="131">
        <f t="shared" si="1"/>
        <v>1.1830133333333333</v>
      </c>
      <c r="H20" s="131">
        <f>(G20+I20)/2</f>
        <v>0.96650666666666663</v>
      </c>
      <c r="I20" s="131">
        <v>0.75</v>
      </c>
      <c r="J20" s="131">
        <f t="shared" si="2"/>
        <v>0.19499999999999995</v>
      </c>
      <c r="K20" s="131">
        <f t="shared" si="3"/>
        <v>0.25999999999999995</v>
      </c>
      <c r="L20" s="131">
        <v>1.86</v>
      </c>
      <c r="M20" s="131">
        <v>0.4</v>
      </c>
      <c r="N20" s="131">
        <f t="shared" si="4"/>
        <v>0.25552238805970151</v>
      </c>
      <c r="O20" s="131">
        <f t="shared" si="7"/>
        <v>2.4107405013160692</v>
      </c>
      <c r="P20" s="131">
        <f t="shared" si="5"/>
        <v>0.59747358310126053</v>
      </c>
      <c r="Q20" s="131">
        <f t="shared" si="6"/>
        <v>1</v>
      </c>
      <c r="R20" s="131">
        <v>28</v>
      </c>
      <c r="S20" s="131">
        <f>1-0.867</f>
        <v>0.13300000000000001</v>
      </c>
      <c r="T20" s="131">
        <f>(R20/100+S20)/2</f>
        <v>0.20650000000000002</v>
      </c>
      <c r="U20" s="131">
        <v>0.997</v>
      </c>
      <c r="V20" s="131">
        <v>0.8</v>
      </c>
      <c r="W20" s="131">
        <f>(V20+U20+J20)/3</f>
        <v>0.66400000000000003</v>
      </c>
      <c r="X20" s="131">
        <f>1/106</f>
        <v>9.433962264150943E-3</v>
      </c>
      <c r="Y20" s="131">
        <f>X20</f>
        <v>9.433962264150943E-3</v>
      </c>
      <c r="Z20" s="131">
        <f t="shared" si="8"/>
        <v>4.4018682572519099</v>
      </c>
      <c r="AA20" s="25">
        <v>31.5</v>
      </c>
      <c r="AB20" s="25">
        <v>5</v>
      </c>
      <c r="AC20" s="25">
        <v>142</v>
      </c>
      <c r="AD20" s="25"/>
      <c r="AE20" s="25">
        <v>5.87</v>
      </c>
    </row>
    <row r="21" spans="1:31" ht="14">
      <c r="A21" s="164" t="s">
        <v>21</v>
      </c>
      <c r="B21" s="181">
        <v>1</v>
      </c>
      <c r="C21" s="181">
        <v>2</v>
      </c>
      <c r="D21" s="182" t="s">
        <v>8</v>
      </c>
      <c r="E21" s="131">
        <f t="shared" si="0"/>
        <v>1.1666666666666667</v>
      </c>
      <c r="F21" s="131"/>
      <c r="G21" s="131">
        <f t="shared" si="1"/>
        <v>-1</v>
      </c>
      <c r="H21" s="131">
        <v>0.75</v>
      </c>
      <c r="I21" s="131">
        <v>0.75</v>
      </c>
      <c r="J21" s="131">
        <f t="shared" si="2"/>
        <v>0.39</v>
      </c>
      <c r="K21" s="131">
        <f t="shared" si="3"/>
        <v>0.52</v>
      </c>
      <c r="L21" s="131">
        <v>0.04</v>
      </c>
      <c r="M21" s="131">
        <v>0.2</v>
      </c>
      <c r="N21" s="131">
        <f t="shared" si="4"/>
        <v>0.10119402985074627</v>
      </c>
      <c r="O21" s="131">
        <f t="shared" si="7"/>
        <v>2.6382131525656378</v>
      </c>
      <c r="P21" s="131">
        <f t="shared" si="5"/>
        <v>0.53113315738718669</v>
      </c>
      <c r="Q21" s="131">
        <f t="shared" si="6"/>
        <v>0.94444444444444442</v>
      </c>
      <c r="R21" s="131"/>
      <c r="S21" s="131">
        <v>0.30599999999999999</v>
      </c>
      <c r="T21" s="131">
        <f>S21</f>
        <v>0.30599999999999999</v>
      </c>
      <c r="U21" s="131">
        <v>0.83599999999999997</v>
      </c>
      <c r="V21" s="131">
        <v>0.75</v>
      </c>
      <c r="W21" s="131">
        <f>(V21+U21+J21)/3</f>
        <v>0.65866666666666662</v>
      </c>
      <c r="X21" s="131">
        <f>7/112</f>
        <v>6.25E-2</v>
      </c>
      <c r="Y21" s="131">
        <f>X21</f>
        <v>6.25E-2</v>
      </c>
      <c r="Z21" s="131">
        <f t="shared" si="8"/>
        <v>4.9516773024260212</v>
      </c>
      <c r="AA21" s="15" t="s">
        <v>223</v>
      </c>
      <c r="AB21" s="15">
        <v>12</v>
      </c>
      <c r="AC21" s="15">
        <v>2.7E-2</v>
      </c>
      <c r="AD21" s="75"/>
      <c r="AE21" s="108">
        <v>8.1</v>
      </c>
    </row>
    <row r="22" spans="1:31" ht="14">
      <c r="A22" s="164" t="s">
        <v>22</v>
      </c>
      <c r="B22" s="181">
        <v>2</v>
      </c>
      <c r="C22" s="181">
        <v>2</v>
      </c>
      <c r="D22" s="182" t="s">
        <v>8</v>
      </c>
      <c r="E22" s="131">
        <f t="shared" si="0"/>
        <v>1.3333333333333333</v>
      </c>
      <c r="F22" s="131">
        <v>29</v>
      </c>
      <c r="G22" s="131">
        <f t="shared" si="1"/>
        <v>1.229133333333333</v>
      </c>
      <c r="H22" s="131">
        <f>(G22+I22)/2</f>
        <v>0.98956666666666648</v>
      </c>
      <c r="I22" s="131">
        <v>0.75</v>
      </c>
      <c r="J22" s="131">
        <f t="shared" si="2"/>
        <v>0.38300000000000001</v>
      </c>
      <c r="K22" s="131">
        <f t="shared" si="3"/>
        <v>0.51066666666666671</v>
      </c>
      <c r="L22" s="131">
        <v>0.05</v>
      </c>
      <c r="M22" s="131">
        <v>0.2</v>
      </c>
      <c r="N22" s="131">
        <f t="shared" si="4"/>
        <v>0.10149253731343284</v>
      </c>
      <c r="O22" s="131">
        <f t="shared" si="7"/>
        <v>2.7311990923751455</v>
      </c>
      <c r="P22" s="131">
        <f t="shared" si="5"/>
        <v>0.31078601819410723</v>
      </c>
      <c r="Q22" s="131">
        <f t="shared" si="6"/>
        <v>0.88888888888888895</v>
      </c>
      <c r="R22" s="131">
        <v>36.5</v>
      </c>
      <c r="S22" s="131">
        <v>0.56499999999999995</v>
      </c>
      <c r="T22" s="131">
        <f>(R22/100+S22)/2</f>
        <v>0.46499999999999997</v>
      </c>
      <c r="U22" s="131"/>
      <c r="V22" s="131">
        <v>0.62</v>
      </c>
      <c r="W22" s="131">
        <f>(V22+K22)/2</f>
        <v>0.56533333333333335</v>
      </c>
      <c r="X22" s="131" t="s">
        <v>225</v>
      </c>
      <c r="Y22" s="131">
        <v>0.1</v>
      </c>
      <c r="Z22" s="131">
        <f t="shared" si="8"/>
        <v>8.4624141564740025</v>
      </c>
      <c r="AA22" s="49">
        <v>27.1</v>
      </c>
      <c r="AB22" s="49">
        <v>1</v>
      </c>
      <c r="AC22" s="49">
        <v>9.4629999999999992</v>
      </c>
      <c r="AD22" s="49"/>
      <c r="AE22" s="49">
        <v>3.34</v>
      </c>
    </row>
    <row r="23" spans="1:31" ht="14">
      <c r="A23" s="164" t="s">
        <v>23</v>
      </c>
      <c r="B23" s="181">
        <v>4</v>
      </c>
      <c r="C23" s="181">
        <v>5</v>
      </c>
      <c r="D23" s="182" t="s">
        <v>3</v>
      </c>
      <c r="E23" s="131">
        <f t="shared" si="0"/>
        <v>2.166666666666667</v>
      </c>
      <c r="F23" s="131">
        <v>37.6</v>
      </c>
      <c r="G23" s="131">
        <f t="shared" si="1"/>
        <v>1.8901866666666667</v>
      </c>
      <c r="H23" s="131">
        <f>(G23+I23)/2</f>
        <v>1.2800933333333333</v>
      </c>
      <c r="I23" s="131">
        <v>0.67</v>
      </c>
      <c r="J23" s="131">
        <f t="shared" si="2"/>
        <v>0.53200000000000003</v>
      </c>
      <c r="K23" s="131">
        <f t="shared" si="3"/>
        <v>0.70933333333333337</v>
      </c>
      <c r="L23" s="131">
        <v>0.03</v>
      </c>
      <c r="M23" s="131">
        <v>0.2</v>
      </c>
      <c r="N23" s="131">
        <f t="shared" si="4"/>
        <v>0.10089552238805971</v>
      </c>
      <c r="O23" s="131">
        <f t="shared" si="7"/>
        <v>1.9992983545780689</v>
      </c>
      <c r="P23" s="131">
        <f t="shared" si="5"/>
        <v>2.8380653991184803E-2</v>
      </c>
      <c r="Q23" s="131">
        <f t="shared" si="6"/>
        <v>0.61111111111111094</v>
      </c>
      <c r="R23" s="131"/>
      <c r="S23" s="184">
        <v>0.53</v>
      </c>
      <c r="T23" s="131">
        <f>S23</f>
        <v>0.53</v>
      </c>
      <c r="U23" s="131">
        <v>0.78900000000000003</v>
      </c>
      <c r="V23" s="131">
        <v>0.19</v>
      </c>
      <c r="W23" s="131">
        <f>(V23+U23+J23)/3</f>
        <v>0.50366666666666671</v>
      </c>
      <c r="X23" s="131" t="s">
        <v>225</v>
      </c>
      <c r="Y23" s="131">
        <v>0.1</v>
      </c>
      <c r="Z23" s="131">
        <f t="shared" si="8"/>
        <v>92.668759529533503</v>
      </c>
      <c r="AA23" s="49">
        <v>15.2</v>
      </c>
      <c r="AB23" s="49">
        <v>7.7</v>
      </c>
      <c r="AC23" s="49">
        <v>10.89</v>
      </c>
      <c r="AD23" s="49"/>
      <c r="AE23" s="49">
        <v>8.0500000000000007</v>
      </c>
    </row>
    <row r="24" spans="1:31" ht="14">
      <c r="A24" s="165" t="s">
        <v>24</v>
      </c>
      <c r="B24" s="181">
        <v>3</v>
      </c>
      <c r="C24" s="181">
        <v>3</v>
      </c>
      <c r="D24" s="182" t="s">
        <v>3</v>
      </c>
      <c r="E24" s="131">
        <f t="shared" si="0"/>
        <v>1.6666666666666665</v>
      </c>
      <c r="F24" s="131">
        <v>45.5</v>
      </c>
      <c r="G24" s="131">
        <f t="shared" si="1"/>
        <v>2.4974333333333334</v>
      </c>
      <c r="H24" s="131">
        <f>(G24+I24)/2</f>
        <v>1.6237166666666667</v>
      </c>
      <c r="I24" s="131">
        <v>0.75</v>
      </c>
      <c r="J24" s="131">
        <f t="shared" si="2"/>
        <v>0.40800000000000003</v>
      </c>
      <c r="K24" s="131">
        <f t="shared" si="3"/>
        <v>0.54400000000000004</v>
      </c>
      <c r="L24" s="131">
        <v>0.1</v>
      </c>
      <c r="M24" s="131">
        <v>0.2</v>
      </c>
      <c r="N24" s="131">
        <f t="shared" si="4"/>
        <v>0.10298507462686568</v>
      </c>
      <c r="O24" s="131">
        <f t="shared" si="7"/>
        <v>2.0884578565227936</v>
      </c>
      <c r="P24" s="131">
        <f t="shared" si="5"/>
        <v>5.9754005308447961E-2</v>
      </c>
      <c r="Q24" s="131">
        <f t="shared" si="6"/>
        <v>0.77777777777777779</v>
      </c>
      <c r="R24" s="131">
        <v>58.2</v>
      </c>
      <c r="S24" s="131">
        <v>0.35699999999999998</v>
      </c>
      <c r="T24" s="131">
        <f>(R24/100+S24)/2</f>
        <v>0.46950000000000003</v>
      </c>
      <c r="U24" s="131">
        <v>0.38</v>
      </c>
      <c r="V24" s="131">
        <v>0.5</v>
      </c>
      <c r="W24" s="131">
        <f>(V24+U24+J24)/3</f>
        <v>0.42933333333333334</v>
      </c>
      <c r="X24" s="131">
        <f>6/125</f>
        <v>4.8000000000000001E-2</v>
      </c>
      <c r="Y24" s="131">
        <f t="shared" ref="Y24:Y30" si="10">X24</f>
        <v>4.8000000000000001E-2</v>
      </c>
      <c r="Z24" s="131">
        <f t="shared" si="8"/>
        <v>44.013785961694744</v>
      </c>
      <c r="AA24" s="15">
        <v>43</v>
      </c>
      <c r="AB24" s="15">
        <v>13.1</v>
      </c>
      <c r="AC24" s="15">
        <v>0.312</v>
      </c>
      <c r="AD24" s="75"/>
      <c r="AE24" s="108">
        <v>6.1</v>
      </c>
    </row>
    <row r="25" spans="1:31" ht="14">
      <c r="A25" s="164" t="s">
        <v>25</v>
      </c>
      <c r="B25" s="181">
        <v>4</v>
      </c>
      <c r="C25" s="181">
        <v>3</v>
      </c>
      <c r="D25" s="182" t="s">
        <v>3</v>
      </c>
      <c r="E25" s="131">
        <f t="shared" si="0"/>
        <v>1.8333333333333335</v>
      </c>
      <c r="F25" s="131">
        <v>27.3</v>
      </c>
      <c r="G25" s="131">
        <f t="shared" si="1"/>
        <v>1.0984600000000002</v>
      </c>
      <c r="H25" s="131">
        <f>(G25+I25)/2</f>
        <v>0.92423000000000011</v>
      </c>
      <c r="I25" s="131">
        <v>0.75</v>
      </c>
      <c r="J25" s="131">
        <f t="shared" si="2"/>
        <v>0.46799999999999997</v>
      </c>
      <c r="K25" s="131">
        <f t="shared" si="3"/>
        <v>0.624</v>
      </c>
      <c r="L25" s="131">
        <v>0.1</v>
      </c>
      <c r="M25" s="131">
        <v>0.2</v>
      </c>
      <c r="N25" s="131">
        <f t="shared" si="4"/>
        <v>0.10298507462686568</v>
      </c>
      <c r="O25" s="131">
        <f t="shared" si="7"/>
        <v>1.4040286045572368</v>
      </c>
      <c r="P25" s="131">
        <f t="shared" si="5"/>
        <v>0.12742290159891581</v>
      </c>
      <c r="Q25" s="131">
        <f t="shared" si="6"/>
        <v>0.7222222222222221</v>
      </c>
      <c r="R25" s="131">
        <v>36.200000000000003</v>
      </c>
      <c r="S25" s="131">
        <f>0.29</f>
        <v>0.28999999999999998</v>
      </c>
      <c r="T25" s="131">
        <f>(R25/100+S25)/2</f>
        <v>0.32600000000000001</v>
      </c>
      <c r="U25" s="131">
        <v>0.44</v>
      </c>
      <c r="V25" s="131">
        <v>0.78</v>
      </c>
      <c r="W25" s="131">
        <f>(V25+U25+J25)/3</f>
        <v>0.56266666666666665</v>
      </c>
      <c r="X25" s="131">
        <f>-49/117</f>
        <v>-0.41880341880341881</v>
      </c>
      <c r="Y25" s="131">
        <f t="shared" si="10"/>
        <v>-0.41880341880341881</v>
      </c>
      <c r="Z25" s="131">
        <f t="shared" si="8"/>
        <v>20.639931809733465</v>
      </c>
      <c r="AA25" s="15">
        <v>37.4</v>
      </c>
      <c r="AB25" s="15"/>
      <c r="AC25" s="15">
        <v>9</v>
      </c>
      <c r="AD25" s="75"/>
      <c r="AE25" s="15">
        <v>6.17</v>
      </c>
    </row>
    <row r="26" spans="1:31" ht="14">
      <c r="A26" s="164" t="s">
        <v>26</v>
      </c>
      <c r="B26" s="181">
        <v>3</v>
      </c>
      <c r="C26" s="181">
        <v>2</v>
      </c>
      <c r="D26" s="182" t="s">
        <v>8</v>
      </c>
      <c r="E26" s="131">
        <f t="shared" si="0"/>
        <v>1.5</v>
      </c>
      <c r="F26" s="131"/>
      <c r="G26" s="131">
        <f t="shared" si="1"/>
        <v>-1</v>
      </c>
      <c r="H26" s="131">
        <v>0.75</v>
      </c>
      <c r="I26" s="131">
        <v>0.75</v>
      </c>
      <c r="J26" s="131">
        <f t="shared" si="2"/>
        <v>0.23699999999999999</v>
      </c>
      <c r="K26" s="131">
        <f t="shared" si="3"/>
        <v>0.316</v>
      </c>
      <c r="L26" s="131">
        <v>0.06</v>
      </c>
      <c r="M26" s="131">
        <v>0.2</v>
      </c>
      <c r="N26" s="131">
        <f t="shared" si="4"/>
        <v>0.1017910447761194</v>
      </c>
      <c r="O26" s="131">
        <f t="shared" si="7"/>
        <v>2.917510477198729</v>
      </c>
      <c r="P26" s="131">
        <f t="shared" si="5"/>
        <v>0.45625531676284004</v>
      </c>
      <c r="Q26" s="131">
        <f t="shared" si="6"/>
        <v>0.83333333333333337</v>
      </c>
      <c r="R26" s="131">
        <v>63</v>
      </c>
      <c r="S26" s="131">
        <v>0.36699999999999999</v>
      </c>
      <c r="T26" s="131">
        <f>(R26/100+S26)/2</f>
        <v>0.4985</v>
      </c>
      <c r="U26" s="131">
        <v>0.20300000000000001</v>
      </c>
      <c r="V26" s="131">
        <v>0.38</v>
      </c>
      <c r="W26" s="131">
        <f>(V26+U26+J26)/3</f>
        <v>0.27333333333333332</v>
      </c>
      <c r="X26" s="131">
        <f>59/115</f>
        <v>0.5130434782608696</v>
      </c>
      <c r="Y26" s="131">
        <f t="shared" si="10"/>
        <v>0.5130434782608696</v>
      </c>
      <c r="Z26" s="131">
        <f t="shared" si="8"/>
        <v>5.7643163890341356</v>
      </c>
      <c r="AA26" s="15">
        <v>23.2</v>
      </c>
      <c r="AB26" s="15">
        <v>4</v>
      </c>
      <c r="AC26" s="15">
        <v>0.72</v>
      </c>
      <c r="AD26" s="75"/>
      <c r="AE26" s="15">
        <v>4.68</v>
      </c>
    </row>
    <row r="27" spans="1:31" ht="14">
      <c r="A27" s="164" t="s">
        <v>27</v>
      </c>
      <c r="B27" s="181">
        <v>2</v>
      </c>
      <c r="C27" s="181">
        <v>2</v>
      </c>
      <c r="D27" s="182" t="s">
        <v>8</v>
      </c>
      <c r="E27" s="131">
        <f t="shared" si="0"/>
        <v>1.3333333333333333</v>
      </c>
      <c r="F27" s="131">
        <v>42.5</v>
      </c>
      <c r="G27" s="131">
        <f t="shared" si="1"/>
        <v>2.266833333333333</v>
      </c>
      <c r="H27" s="131">
        <f>(G27+I27)/2</f>
        <v>1.6334166666666665</v>
      </c>
      <c r="I27" s="131">
        <v>1</v>
      </c>
      <c r="J27" s="131">
        <f t="shared" si="2"/>
        <v>0.28800000000000003</v>
      </c>
      <c r="K27" s="131">
        <f t="shared" si="3"/>
        <v>0.38400000000000006</v>
      </c>
      <c r="L27" s="131">
        <v>1.72</v>
      </c>
      <c r="M27" s="131">
        <v>0.6</v>
      </c>
      <c r="N27" s="131">
        <f t="shared" si="4"/>
        <v>0.35134328358208955</v>
      </c>
      <c r="O27" s="131">
        <f t="shared" si="7"/>
        <v>3.9153067069223009</v>
      </c>
      <c r="P27" s="131">
        <f t="shared" si="5"/>
        <v>0.11176433747763412</v>
      </c>
      <c r="Q27" s="131">
        <f t="shared" si="6"/>
        <v>0.88888888888888895</v>
      </c>
      <c r="R27" s="131">
        <v>51.9</v>
      </c>
      <c r="S27" s="131">
        <v>0.30099999999999999</v>
      </c>
      <c r="T27" s="131">
        <f>(R27/100+S27)/2</f>
        <v>0.41000000000000003</v>
      </c>
      <c r="U27" s="131">
        <v>0.54400000000000004</v>
      </c>
      <c r="V27" s="131">
        <v>0.73</v>
      </c>
      <c r="W27" s="131">
        <f>(V27+U27+J27)/3</f>
        <v>0.52066666666666672</v>
      </c>
      <c r="X27" s="131">
        <f>75/124</f>
        <v>0.60483870967741937</v>
      </c>
      <c r="Y27" s="131">
        <f t="shared" si="10"/>
        <v>0.60483870967741937</v>
      </c>
      <c r="Z27" s="131">
        <f t="shared" si="8"/>
        <v>23.531656513655854</v>
      </c>
      <c r="AA27" s="107">
        <v>30.3</v>
      </c>
      <c r="AB27" s="107">
        <v>7.6</v>
      </c>
      <c r="AC27" s="107">
        <v>10.42</v>
      </c>
      <c r="AD27" s="107"/>
      <c r="AE27" s="107">
        <v>5.92</v>
      </c>
    </row>
    <row r="28" spans="1:31" ht="14">
      <c r="A28" s="164" t="s">
        <v>28</v>
      </c>
      <c r="B28" s="181">
        <v>6</v>
      </c>
      <c r="C28" s="181">
        <v>5</v>
      </c>
      <c r="D28" s="182" t="s">
        <v>4</v>
      </c>
      <c r="E28" s="131">
        <f t="shared" si="0"/>
        <v>2.5</v>
      </c>
      <c r="F28" s="131"/>
      <c r="G28" s="131">
        <f t="shared" si="1"/>
        <v>-1</v>
      </c>
      <c r="H28" s="131">
        <v>0.67</v>
      </c>
      <c r="I28" s="131">
        <v>0.67</v>
      </c>
      <c r="J28" s="131">
        <f t="shared" si="2"/>
        <v>0.64</v>
      </c>
      <c r="K28" s="131">
        <f t="shared" si="3"/>
        <v>0.85333333333333339</v>
      </c>
      <c r="L28" s="131">
        <v>1.1000000000000001</v>
      </c>
      <c r="M28" s="131">
        <v>0.2</v>
      </c>
      <c r="N28" s="131">
        <f t="shared" si="4"/>
        <v>0.1328358208955224</v>
      </c>
      <c r="O28" s="131">
        <f t="shared" si="7"/>
        <v>1.8397785562634568</v>
      </c>
      <c r="P28" s="131">
        <f t="shared" si="5"/>
        <v>4.1859393979661652E-2</v>
      </c>
      <c r="Q28" s="131">
        <f t="shared" si="6"/>
        <v>0.5</v>
      </c>
      <c r="R28" s="131"/>
      <c r="S28" s="131">
        <f>1-0.805</f>
        <v>0.19499999999999995</v>
      </c>
      <c r="T28" s="131">
        <f>S28</f>
        <v>0.19499999999999995</v>
      </c>
      <c r="U28" s="131"/>
      <c r="V28" s="131">
        <v>0.72</v>
      </c>
      <c r="W28" s="131">
        <f>(V28+K28)/2</f>
        <v>0.78666666666666663</v>
      </c>
      <c r="X28" s="131">
        <f>24/101</f>
        <v>0.23762376237623761</v>
      </c>
      <c r="Y28" s="131">
        <f t="shared" si="10"/>
        <v>0.23762376237623761</v>
      </c>
      <c r="Z28" s="131">
        <f t="shared" si="8"/>
        <v>62.829385472657485</v>
      </c>
      <c r="AA28" s="49">
        <v>18.600000000000001</v>
      </c>
      <c r="AB28" s="49">
        <v>43.3</v>
      </c>
      <c r="AC28" s="49">
        <v>3.8</v>
      </c>
      <c r="AD28" s="49"/>
      <c r="AE28" s="49">
        <v>5.32</v>
      </c>
    </row>
    <row r="29" spans="1:31" ht="14">
      <c r="A29" s="164" t="s">
        <v>29</v>
      </c>
      <c r="B29" s="181">
        <v>2</v>
      </c>
      <c r="C29" s="181">
        <v>2</v>
      </c>
      <c r="D29" s="182" t="s">
        <v>8</v>
      </c>
      <c r="E29" s="131">
        <f t="shared" si="0"/>
        <v>1.3333333333333333</v>
      </c>
      <c r="F29" s="131">
        <v>35.200000000000003</v>
      </c>
      <c r="G29" s="131">
        <f t="shared" si="1"/>
        <v>1.7057066666666669</v>
      </c>
      <c r="H29" s="131">
        <f t="shared" ref="H29:H46" si="11">(G29+I29)/2</f>
        <v>1.2278533333333335</v>
      </c>
      <c r="I29" s="131">
        <v>0.75</v>
      </c>
      <c r="J29" s="131">
        <f t="shared" si="2"/>
        <v>0.31600000000000006</v>
      </c>
      <c r="K29" s="131">
        <f t="shared" si="3"/>
        <v>0.42133333333333339</v>
      </c>
      <c r="L29" s="131">
        <v>0.28000000000000003</v>
      </c>
      <c r="M29" s="131">
        <v>0.2</v>
      </c>
      <c r="N29" s="131">
        <f t="shared" si="4"/>
        <v>0.10835820895522388</v>
      </c>
      <c r="O29" s="131">
        <f t="shared" si="7"/>
        <v>1.5936504901914195</v>
      </c>
      <c r="P29" s="131">
        <f t="shared" si="5"/>
        <v>0.2524835145507186</v>
      </c>
      <c r="Q29" s="131">
        <f t="shared" si="6"/>
        <v>0.88888888888888895</v>
      </c>
      <c r="R29" s="131">
        <v>45.3</v>
      </c>
      <c r="S29" s="131">
        <f>1-0.743</f>
        <v>0.25700000000000001</v>
      </c>
      <c r="T29" s="131">
        <f>(R29/100+S29)/2</f>
        <v>0.35499999999999998</v>
      </c>
      <c r="U29" s="131">
        <v>0.17499999999999999</v>
      </c>
      <c r="V29" s="131">
        <v>0.78</v>
      </c>
      <c r="W29" s="131">
        <f>(V29+U29+J29)/3</f>
        <v>0.42366666666666669</v>
      </c>
      <c r="X29" s="131">
        <f>-29/114</f>
        <v>-0.25438596491228072</v>
      </c>
      <c r="Y29" s="131">
        <f t="shared" si="10"/>
        <v>-0.25438596491228072</v>
      </c>
      <c r="Z29" s="131">
        <f t="shared" si="8"/>
        <v>10.416521667483714</v>
      </c>
      <c r="AA29" s="15">
        <v>30.3</v>
      </c>
      <c r="AB29" s="15">
        <v>7.5</v>
      </c>
      <c r="AC29" s="15">
        <v>2</v>
      </c>
      <c r="AD29" s="75"/>
      <c r="AE29" s="15">
        <v>7.63</v>
      </c>
    </row>
    <row r="30" spans="1:31" ht="14">
      <c r="A30" s="164" t="s">
        <v>30</v>
      </c>
      <c r="B30" s="181">
        <v>5</v>
      </c>
      <c r="C30" s="181">
        <v>3</v>
      </c>
      <c r="D30" s="182" t="s">
        <v>3</v>
      </c>
      <c r="E30" s="131">
        <f t="shared" si="0"/>
        <v>2</v>
      </c>
      <c r="F30" s="131">
        <v>32</v>
      </c>
      <c r="G30" s="131">
        <f t="shared" si="1"/>
        <v>1.4597333333333333</v>
      </c>
      <c r="H30" s="131">
        <f t="shared" si="11"/>
        <v>1.1048666666666667</v>
      </c>
      <c r="I30" s="131">
        <v>0.75</v>
      </c>
      <c r="J30" s="131">
        <f t="shared" si="2"/>
        <v>0.64100000000000001</v>
      </c>
      <c r="K30" s="131">
        <f t="shared" si="3"/>
        <v>0.85466666666666669</v>
      </c>
      <c r="L30" s="131">
        <v>0.05</v>
      </c>
      <c r="M30" s="131">
        <v>0.2</v>
      </c>
      <c r="N30" s="131">
        <f t="shared" si="4"/>
        <v>0.10149253731343284</v>
      </c>
      <c r="O30" s="131">
        <f t="shared" si="7"/>
        <v>2.07724549544626</v>
      </c>
      <c r="P30" s="131">
        <f t="shared" si="5"/>
        <v>4.2635506152263074E-2</v>
      </c>
      <c r="Q30" s="131">
        <f t="shared" si="6"/>
        <v>0.66666666666666674</v>
      </c>
      <c r="R30" s="131">
        <v>39.5</v>
      </c>
      <c r="S30" s="131">
        <v>0.69499999999999995</v>
      </c>
      <c r="T30" s="131">
        <f>(R30/100+S30)/2</f>
        <v>0.54499999999999993</v>
      </c>
      <c r="U30" s="131"/>
      <c r="V30" s="131">
        <v>0.51</v>
      </c>
      <c r="W30" s="131">
        <f>(V30+K30)/2</f>
        <v>0.68233333333333335</v>
      </c>
      <c r="X30" s="131">
        <f>-17/130</f>
        <v>-0.13076923076923078</v>
      </c>
      <c r="Y30" s="131">
        <f t="shared" si="10"/>
        <v>-0.13076923076923078</v>
      </c>
      <c r="Z30" s="131">
        <f t="shared" si="8"/>
        <v>61.685675563638185</v>
      </c>
      <c r="AA30" s="107">
        <v>26</v>
      </c>
      <c r="AB30" s="107">
        <v>6</v>
      </c>
      <c r="AC30" s="107">
        <v>192</v>
      </c>
      <c r="AD30" s="107"/>
      <c r="AE30" s="107">
        <v>7.12</v>
      </c>
    </row>
    <row r="31" spans="1:31" ht="14">
      <c r="A31" s="164" t="s">
        <v>31</v>
      </c>
      <c r="B31" s="181">
        <v>7</v>
      </c>
      <c r="C31" s="181">
        <v>7</v>
      </c>
      <c r="D31" s="182" t="s">
        <v>4</v>
      </c>
      <c r="E31" s="131">
        <f t="shared" si="0"/>
        <v>3</v>
      </c>
      <c r="F31" s="131">
        <v>32</v>
      </c>
      <c r="G31" s="131">
        <f t="shared" si="1"/>
        <v>1.4597333333333333</v>
      </c>
      <c r="H31" s="131">
        <f t="shared" si="11"/>
        <v>1.1048666666666667</v>
      </c>
      <c r="I31" s="131">
        <v>0.75</v>
      </c>
      <c r="J31" s="131">
        <f t="shared" si="2"/>
        <v>0.81</v>
      </c>
      <c r="K31" s="131">
        <f t="shared" si="3"/>
        <v>1.08</v>
      </c>
      <c r="L31" s="131">
        <v>0.05</v>
      </c>
      <c r="M31" s="131">
        <v>0.2</v>
      </c>
      <c r="N31" s="131">
        <f t="shared" si="4"/>
        <v>0.10149253731343284</v>
      </c>
      <c r="O31" s="131">
        <f t="shared" si="7"/>
        <v>1.80098427218694</v>
      </c>
      <c r="P31" s="131">
        <f t="shared" si="5"/>
        <v>2.76118935665572E-3</v>
      </c>
      <c r="Q31" s="131">
        <f t="shared" si="6"/>
        <v>0.33333333333333337</v>
      </c>
      <c r="R31" s="131"/>
      <c r="S31" s="184">
        <v>0.9</v>
      </c>
      <c r="T31" s="131">
        <f>S31</f>
        <v>0.9</v>
      </c>
      <c r="U31" s="131"/>
      <c r="V31" s="131">
        <v>0.45</v>
      </c>
      <c r="W31" s="131">
        <f>(V31+K31)/2</f>
        <v>0.76500000000000001</v>
      </c>
      <c r="X31" s="131" t="s">
        <v>223</v>
      </c>
      <c r="Y31" s="131">
        <v>0.1</v>
      </c>
      <c r="Z31" s="131">
        <f t="shared" si="8"/>
        <v>952.48809852917395</v>
      </c>
      <c r="AA31" s="15" t="s">
        <v>223</v>
      </c>
      <c r="AB31" s="15">
        <v>2.7</v>
      </c>
      <c r="AC31" s="15">
        <v>0.42</v>
      </c>
      <c r="AD31" s="75"/>
      <c r="AE31" s="108">
        <v>3.6</v>
      </c>
    </row>
    <row r="32" spans="1:31" ht="14">
      <c r="A32" s="164" t="s">
        <v>32</v>
      </c>
      <c r="B32" s="181">
        <v>5</v>
      </c>
      <c r="C32" s="181">
        <v>5</v>
      </c>
      <c r="D32" s="182" t="s">
        <v>3</v>
      </c>
      <c r="E32" s="131">
        <f t="shared" si="0"/>
        <v>2.333333333333333</v>
      </c>
      <c r="F32" s="131">
        <v>28</v>
      </c>
      <c r="G32" s="131">
        <f t="shared" si="1"/>
        <v>1.1522666666666668</v>
      </c>
      <c r="H32" s="131">
        <f t="shared" si="11"/>
        <v>0.95113333333333339</v>
      </c>
      <c r="I32" s="131">
        <v>0.75</v>
      </c>
      <c r="J32" s="131">
        <f t="shared" si="2"/>
        <v>0.59899999999999998</v>
      </c>
      <c r="K32" s="131">
        <f t="shared" si="3"/>
        <v>0.79866666666666664</v>
      </c>
      <c r="L32" s="131">
        <v>0.06</v>
      </c>
      <c r="M32" s="131">
        <v>0.2</v>
      </c>
      <c r="N32" s="131">
        <f t="shared" si="4"/>
        <v>0.1017910447761194</v>
      </c>
      <c r="O32" s="131">
        <f t="shared" si="7"/>
        <v>2.1291881157421337</v>
      </c>
      <c r="P32" s="131">
        <f t="shared" si="5"/>
        <v>3.4965435650473053E-2</v>
      </c>
      <c r="Q32" s="131">
        <f t="shared" si="6"/>
        <v>0.55555555555555558</v>
      </c>
      <c r="R32" s="131">
        <v>42.4</v>
      </c>
      <c r="S32" s="131">
        <v>0.71799999999999997</v>
      </c>
      <c r="T32" s="131">
        <f>(R32/100+S32)/2</f>
        <v>0.57099999999999995</v>
      </c>
      <c r="U32" s="131"/>
      <c r="V32" s="131">
        <v>0.57999999999999996</v>
      </c>
      <c r="W32" s="131">
        <f>(V32+K32)/2</f>
        <v>0.68933333333333335</v>
      </c>
      <c r="X32" s="131" t="s">
        <v>225</v>
      </c>
      <c r="Y32" s="131">
        <v>0.1</v>
      </c>
      <c r="Z32" s="131">
        <f t="shared" si="8"/>
        <v>75.217138041419432</v>
      </c>
      <c r="AA32" s="39">
        <v>21.8</v>
      </c>
      <c r="AB32" s="39">
        <v>8.8000000000000007</v>
      </c>
      <c r="AC32" s="39">
        <v>7.3</v>
      </c>
      <c r="AD32" s="75"/>
      <c r="AE32" s="39">
        <v>6.84</v>
      </c>
    </row>
    <row r="33" spans="1:31" ht="14">
      <c r="A33" s="164" t="s">
        <v>33</v>
      </c>
      <c r="B33" s="181">
        <v>6</v>
      </c>
      <c r="C33" s="181">
        <v>5</v>
      </c>
      <c r="D33" s="182" t="s">
        <v>4</v>
      </c>
      <c r="E33" s="131">
        <f t="shared" si="0"/>
        <v>2.5</v>
      </c>
      <c r="F33" s="131">
        <v>37.299999999999997</v>
      </c>
      <c r="G33" s="131">
        <f t="shared" si="1"/>
        <v>1.8671266666666662</v>
      </c>
      <c r="H33" s="131">
        <f t="shared" si="11"/>
        <v>1.3085633333333331</v>
      </c>
      <c r="I33" s="131">
        <v>0.75</v>
      </c>
      <c r="J33" s="131">
        <f t="shared" si="2"/>
        <v>0.51300000000000001</v>
      </c>
      <c r="K33" s="131">
        <f t="shared" si="3"/>
        <v>0.68400000000000005</v>
      </c>
      <c r="L33" s="131">
        <v>0.06</v>
      </c>
      <c r="M33" s="131">
        <v>0.2</v>
      </c>
      <c r="N33" s="131">
        <f t="shared" si="4"/>
        <v>0.1017910447761194</v>
      </c>
      <c r="O33" s="131">
        <f t="shared" si="7"/>
        <v>1.6951389364535361</v>
      </c>
      <c r="P33" s="131">
        <f t="shared" si="5"/>
        <v>1.3997142195680792E-2</v>
      </c>
      <c r="Q33" s="131">
        <f t="shared" si="6"/>
        <v>0.5</v>
      </c>
      <c r="R33" s="131">
        <v>44.4</v>
      </c>
      <c r="S33" s="131">
        <v>0.50600000000000001</v>
      </c>
      <c r="T33" s="131">
        <f>(R33/100+S33)/2</f>
        <v>0.47499999999999998</v>
      </c>
      <c r="U33" s="131"/>
      <c r="V33" s="131">
        <v>0.33</v>
      </c>
      <c r="W33" s="131">
        <f>(V33+K33)/2</f>
        <v>0.50700000000000001</v>
      </c>
      <c r="X33" s="131">
        <f>10/136</f>
        <v>7.3529411764705885E-2</v>
      </c>
      <c r="Y33" s="131">
        <f t="shared" ref="Y33:Y41" si="12">X33</f>
        <v>7.3529411764705885E-2</v>
      </c>
      <c r="Z33" s="131">
        <f t="shared" si="8"/>
        <v>187.89549775464593</v>
      </c>
      <c r="AA33" s="15">
        <v>46.4</v>
      </c>
      <c r="AB33" s="15">
        <v>77</v>
      </c>
      <c r="AC33" s="15">
        <v>16</v>
      </c>
      <c r="AD33" s="75"/>
      <c r="AE33" s="15">
        <v>3.59</v>
      </c>
    </row>
    <row r="34" spans="1:31" ht="14">
      <c r="A34" s="164" t="s">
        <v>34</v>
      </c>
      <c r="B34" s="181">
        <v>6</v>
      </c>
      <c r="C34" s="181">
        <v>6</v>
      </c>
      <c r="D34" s="182" t="s">
        <v>4</v>
      </c>
      <c r="E34" s="131">
        <f t="shared" si="0"/>
        <v>2.666666666666667</v>
      </c>
      <c r="F34" s="131">
        <v>35.4</v>
      </c>
      <c r="G34" s="131">
        <f t="shared" si="1"/>
        <v>1.7210800000000002</v>
      </c>
      <c r="H34" s="131">
        <f t="shared" si="11"/>
        <v>1.2355400000000001</v>
      </c>
      <c r="I34" s="131">
        <v>0.75</v>
      </c>
      <c r="J34" s="131">
        <f t="shared" si="2"/>
        <v>0.65900000000000003</v>
      </c>
      <c r="K34" s="131">
        <f t="shared" si="3"/>
        <v>0.87866666666666671</v>
      </c>
      <c r="L34" s="131">
        <v>0.1</v>
      </c>
      <c r="M34" s="131">
        <v>0.2</v>
      </c>
      <c r="N34" s="131">
        <f t="shared" si="4"/>
        <v>0.10298507462686568</v>
      </c>
      <c r="O34" s="131">
        <f t="shared" si="7"/>
        <v>1.7240391611687005</v>
      </c>
      <c r="P34" s="131">
        <f t="shared" si="5"/>
        <v>7.1151606835158331E-3</v>
      </c>
      <c r="Q34" s="131">
        <f t="shared" si="6"/>
        <v>0.44444444444444431</v>
      </c>
      <c r="R34" s="131">
        <v>44.6</v>
      </c>
      <c r="S34" s="131">
        <v>0.54</v>
      </c>
      <c r="T34" s="131">
        <f>(R34/100+S34)/2</f>
        <v>0.49299999999999999</v>
      </c>
      <c r="U34" s="131">
        <v>0.16200000000000001</v>
      </c>
      <c r="V34" s="131">
        <v>0.62</v>
      </c>
      <c r="W34" s="131">
        <f>(V34+U34+J34)/3</f>
        <v>0.48033333333333333</v>
      </c>
      <c r="X34" s="131">
        <f>29/115</f>
        <v>0.25217391304347825</v>
      </c>
      <c r="Y34" s="131">
        <f t="shared" si="12"/>
        <v>0.25217391304347825</v>
      </c>
      <c r="Z34" s="131">
        <f t="shared" si="8"/>
        <v>369.63325453676629</v>
      </c>
      <c r="AA34" s="15">
        <v>32.700000000000003</v>
      </c>
      <c r="AB34" s="15">
        <v>5.5</v>
      </c>
      <c r="AC34" s="15">
        <v>60</v>
      </c>
      <c r="AD34" s="75"/>
      <c r="AE34" s="108">
        <v>1.9</v>
      </c>
    </row>
    <row r="35" spans="1:31" ht="14">
      <c r="A35" s="164" t="s">
        <v>35</v>
      </c>
      <c r="B35" s="181">
        <v>1</v>
      </c>
      <c r="C35" s="181">
        <v>1</v>
      </c>
      <c r="D35" s="182" t="s">
        <v>8</v>
      </c>
      <c r="E35" s="131">
        <f t="shared" si="0"/>
        <v>1</v>
      </c>
      <c r="F35" s="131">
        <v>24.8</v>
      </c>
      <c r="G35" s="131">
        <f t="shared" si="1"/>
        <v>0.9062933333333334</v>
      </c>
      <c r="H35" s="131">
        <f t="shared" si="11"/>
        <v>0.78648000000000007</v>
      </c>
      <c r="I35" s="131">
        <f>2/3</f>
        <v>0.66666666666666663</v>
      </c>
      <c r="J35" s="131">
        <f t="shared" si="2"/>
        <v>9.1999999999999971E-2</v>
      </c>
      <c r="K35" s="131">
        <f t="shared" si="3"/>
        <v>0.12266666666666663</v>
      </c>
      <c r="L35" s="131">
        <v>2.56</v>
      </c>
      <c r="M35" s="131">
        <v>0.4</v>
      </c>
      <c r="N35" s="131">
        <f t="shared" si="4"/>
        <v>0.27641791044776121</v>
      </c>
      <c r="O35" s="131">
        <f t="shared" si="7"/>
        <v>2.5032139136392546</v>
      </c>
      <c r="P35" s="131">
        <f t="shared" si="5"/>
        <v>0.80365859672396966</v>
      </c>
      <c r="Q35" s="131">
        <f t="shared" si="6"/>
        <v>1</v>
      </c>
      <c r="R35" s="131">
        <v>32.1</v>
      </c>
      <c r="S35" s="131">
        <f>1-0.888</f>
        <v>0.11199999999999999</v>
      </c>
      <c r="T35" s="131">
        <f>(R35/100+S35)/2</f>
        <v>0.2165</v>
      </c>
      <c r="U35" s="131">
        <v>0.83499999999999996</v>
      </c>
      <c r="V35" s="131">
        <v>0.78</v>
      </c>
      <c r="W35" s="131">
        <f>(V35+U35+J35)/3</f>
        <v>0.56899999999999995</v>
      </c>
      <c r="X35" s="131">
        <f>14/106</f>
        <v>0.13207547169811321</v>
      </c>
      <c r="Y35" s="131">
        <f t="shared" si="12"/>
        <v>0.13207547169811321</v>
      </c>
      <c r="Z35" s="131">
        <f t="shared" si="8"/>
        <v>3.2725338977532501</v>
      </c>
      <c r="AA35" s="15">
        <v>68</v>
      </c>
      <c r="AB35" s="15"/>
      <c r="AC35" s="15">
        <v>8</v>
      </c>
      <c r="AD35" s="75"/>
      <c r="AE35" s="15">
        <v>4.01</v>
      </c>
    </row>
    <row r="36" spans="1:31" ht="14">
      <c r="A36" s="164" t="s">
        <v>36</v>
      </c>
      <c r="B36" s="181">
        <v>1</v>
      </c>
      <c r="C36" s="181">
        <v>1</v>
      </c>
      <c r="D36" s="182" t="s">
        <v>8</v>
      </c>
      <c r="E36" s="131">
        <f t="shared" si="0"/>
        <v>1</v>
      </c>
      <c r="F36" s="131">
        <v>40.6</v>
      </c>
      <c r="G36" s="131">
        <f t="shared" si="1"/>
        <v>2.120786666666667</v>
      </c>
      <c r="H36" s="131">
        <f t="shared" si="11"/>
        <v>1.4353933333333335</v>
      </c>
      <c r="I36" s="131">
        <v>0.75</v>
      </c>
      <c r="J36" s="131">
        <f t="shared" si="2"/>
        <v>0.20599999999999996</v>
      </c>
      <c r="K36" s="131">
        <f t="shared" si="3"/>
        <v>0.27466666666666661</v>
      </c>
      <c r="L36" s="131">
        <v>0.03</v>
      </c>
      <c r="M36" s="131">
        <v>0.2</v>
      </c>
      <c r="N36" s="131">
        <f t="shared" si="4"/>
        <v>0.10089552238805971</v>
      </c>
      <c r="O36" s="131">
        <f t="shared" si="7"/>
        <v>2.0939087200836983</v>
      </c>
      <c r="P36" s="131">
        <f t="shared" ref="P36:P67" si="13">2.63/Z36</f>
        <v>0.42999930946189563</v>
      </c>
      <c r="Q36" s="131">
        <f t="shared" si="6"/>
        <v>1</v>
      </c>
      <c r="R36" s="131"/>
      <c r="S36" s="131">
        <v>0.46300000000000002</v>
      </c>
      <c r="T36" s="131">
        <f>S36</f>
        <v>0.46300000000000002</v>
      </c>
      <c r="U36" s="131"/>
      <c r="V36" s="131">
        <v>0.44</v>
      </c>
      <c r="W36" s="131">
        <f>(V36+K36)/2</f>
        <v>0.35733333333333328</v>
      </c>
      <c r="X36" s="131">
        <f>-10/123</f>
        <v>-8.1300813008130079E-2</v>
      </c>
      <c r="Y36" s="131">
        <f t="shared" si="12"/>
        <v>-8.1300813008130079E-2</v>
      </c>
      <c r="Z36" s="131">
        <f t="shared" si="8"/>
        <v>6.1162888919314815</v>
      </c>
      <c r="AA36" s="15">
        <v>31</v>
      </c>
      <c r="AB36" s="15">
        <v>3.5</v>
      </c>
      <c r="AC36" s="15">
        <v>13.395</v>
      </c>
      <c r="AD36" s="75"/>
      <c r="AE36" s="15">
        <v>4.87</v>
      </c>
    </row>
    <row r="37" spans="1:31" ht="14">
      <c r="A37" s="164" t="s">
        <v>37</v>
      </c>
      <c r="B37" s="181">
        <v>5</v>
      </c>
      <c r="C37" s="181">
        <v>5</v>
      </c>
      <c r="D37" s="182" t="s">
        <v>3</v>
      </c>
      <c r="E37" s="131">
        <f t="shared" si="0"/>
        <v>2.333333333333333</v>
      </c>
      <c r="F37" s="131">
        <v>33</v>
      </c>
      <c r="G37" s="131">
        <f t="shared" si="1"/>
        <v>1.5366</v>
      </c>
      <c r="H37" s="131">
        <f t="shared" si="11"/>
        <v>1.1433</v>
      </c>
      <c r="I37" s="131">
        <v>0.75</v>
      </c>
      <c r="J37" s="131">
        <f t="shared" si="2"/>
        <v>0.81800000000000006</v>
      </c>
      <c r="K37" s="131">
        <f t="shared" si="3"/>
        <v>1.0906666666666667</v>
      </c>
      <c r="L37" s="131">
        <v>0.05</v>
      </c>
      <c r="M37" s="131">
        <v>0.2</v>
      </c>
      <c r="N37" s="131">
        <f t="shared" si="4"/>
        <v>0.10149253731343284</v>
      </c>
      <c r="O37" s="131">
        <f t="shared" ref="O37:O68" si="14">EXP(Q37*(Y37+W37+T37))</f>
        <v>2.1585493371852125</v>
      </c>
      <c r="P37" s="131">
        <f t="shared" si="13"/>
        <v>1.130600856578853E-2</v>
      </c>
      <c r="Q37" s="131">
        <f t="shared" si="6"/>
        <v>0.55555555555555558</v>
      </c>
      <c r="R37" s="131">
        <v>61.3</v>
      </c>
      <c r="S37" s="131">
        <v>0.68500000000000005</v>
      </c>
      <c r="T37" s="131">
        <f>(R37/100+S37)/2</f>
        <v>0.64900000000000002</v>
      </c>
      <c r="U37" s="131"/>
      <c r="V37" s="131">
        <v>0.59</v>
      </c>
      <c r="W37" s="131">
        <f>(V37+K37)/2</f>
        <v>0.84033333333333338</v>
      </c>
      <c r="X37" s="131">
        <f>-12/115</f>
        <v>-0.10434782608695652</v>
      </c>
      <c r="Y37" s="131">
        <f t="shared" si="12"/>
        <v>-0.10434782608695652</v>
      </c>
      <c r="Z37" s="131">
        <f t="shared" ref="Z37:Z68" si="15">EXP(E37*(H37+K37+N37))</f>
        <v>232.61967162825798</v>
      </c>
      <c r="AA37" s="15">
        <v>48</v>
      </c>
      <c r="AB37" s="15">
        <v>30</v>
      </c>
      <c r="AC37" s="15">
        <v>19.399999999999999</v>
      </c>
      <c r="AD37" s="75"/>
      <c r="AE37" s="15">
        <v>3.41</v>
      </c>
    </row>
    <row r="38" spans="1:31" ht="14">
      <c r="A38" s="164" t="s">
        <v>38</v>
      </c>
      <c r="B38" s="181">
        <v>7</v>
      </c>
      <c r="C38" s="181">
        <v>6</v>
      </c>
      <c r="D38" s="182" t="s">
        <v>4</v>
      </c>
      <c r="E38" s="131">
        <f t="shared" si="0"/>
        <v>2.833333333333333</v>
      </c>
      <c r="F38" s="131">
        <v>30.8</v>
      </c>
      <c r="G38" s="131">
        <f t="shared" si="1"/>
        <v>1.3674933333333334</v>
      </c>
      <c r="H38" s="131">
        <f t="shared" si="11"/>
        <v>1.0587466666666667</v>
      </c>
      <c r="I38" s="131">
        <v>0.75</v>
      </c>
      <c r="J38" s="131">
        <f t="shared" si="2"/>
        <v>0.84799999999999998</v>
      </c>
      <c r="K38" s="131">
        <f t="shared" si="3"/>
        <v>1.1306666666666667</v>
      </c>
      <c r="L38" s="131">
        <v>0.06</v>
      </c>
      <c r="M38" s="131">
        <v>0.2</v>
      </c>
      <c r="N38" s="131">
        <f t="shared" si="4"/>
        <v>0.1017910447761194</v>
      </c>
      <c r="O38" s="131">
        <f t="shared" si="14"/>
        <v>1.8259413258552211</v>
      </c>
      <c r="P38" s="131">
        <f t="shared" si="13"/>
        <v>3.9868178731988137E-3</v>
      </c>
      <c r="Q38" s="131">
        <f t="shared" si="6"/>
        <v>0.38888888888888895</v>
      </c>
      <c r="R38" s="131"/>
      <c r="S38" s="131">
        <v>0.70499999999999996</v>
      </c>
      <c r="T38" s="131">
        <f>S38</f>
        <v>0.70499999999999996</v>
      </c>
      <c r="U38" s="131"/>
      <c r="V38" s="131">
        <v>0.75</v>
      </c>
      <c r="W38" s="131">
        <f>(V38+K38)/2</f>
        <v>0.94033333333333335</v>
      </c>
      <c r="X38" s="131">
        <f>-10/103</f>
        <v>-9.7087378640776698E-2</v>
      </c>
      <c r="Y38" s="131">
        <f t="shared" si="12"/>
        <v>-9.7087378640776698E-2</v>
      </c>
      <c r="Z38" s="131">
        <f t="shared" si="15"/>
        <v>659.67397650142107</v>
      </c>
      <c r="AA38" s="57">
        <v>9.4</v>
      </c>
      <c r="AB38" s="57">
        <v>7.4</v>
      </c>
      <c r="AC38" s="57">
        <v>34.700000000000003</v>
      </c>
      <c r="AD38" s="57"/>
      <c r="AE38" s="57">
        <v>9.08</v>
      </c>
    </row>
    <row r="39" spans="1:31" ht="14">
      <c r="A39" s="164" t="s">
        <v>39</v>
      </c>
      <c r="B39" s="181">
        <v>1</v>
      </c>
      <c r="C39" s="181">
        <v>1</v>
      </c>
      <c r="D39" s="182" t="s">
        <v>8</v>
      </c>
      <c r="E39" s="131">
        <f t="shared" si="0"/>
        <v>1</v>
      </c>
      <c r="F39" s="131">
        <v>42.5</v>
      </c>
      <c r="G39" s="131">
        <f t="shared" si="1"/>
        <v>2.266833333333333</v>
      </c>
      <c r="H39" s="131">
        <f t="shared" si="11"/>
        <v>1.5084166666666665</v>
      </c>
      <c r="I39" s="131">
        <v>0.75</v>
      </c>
      <c r="J39" s="131">
        <f t="shared" si="2"/>
        <v>0.23299999999999998</v>
      </c>
      <c r="K39" s="131">
        <f t="shared" si="3"/>
        <v>0.31066666666666665</v>
      </c>
      <c r="L39" s="131">
        <v>0.37</v>
      </c>
      <c r="M39" s="131">
        <v>0.4</v>
      </c>
      <c r="N39" s="131">
        <f t="shared" si="4"/>
        <v>0.211044776119403</v>
      </c>
      <c r="O39" s="131">
        <f t="shared" si="14"/>
        <v>2.6398841740637162</v>
      </c>
      <c r="P39" s="131">
        <f t="shared" si="13"/>
        <v>0.34536817285870158</v>
      </c>
      <c r="Q39" s="131">
        <f t="shared" si="6"/>
        <v>1</v>
      </c>
      <c r="R39" s="131">
        <v>52.1</v>
      </c>
      <c r="S39" s="131">
        <f>1-0.783</f>
        <v>0.21699999999999997</v>
      </c>
      <c r="T39" s="131">
        <f>(R39/100+S39)/2</f>
        <v>0.36899999999999999</v>
      </c>
      <c r="U39" s="131">
        <v>9.4E-2</v>
      </c>
      <c r="V39" s="131">
        <v>0.35</v>
      </c>
      <c r="W39" s="131">
        <f>(V39+U39+J39)/3</f>
        <v>0.22566666666666665</v>
      </c>
      <c r="X39" s="131">
        <f>44/117</f>
        <v>0.37606837606837606</v>
      </c>
      <c r="Y39" s="131">
        <f t="shared" si="12"/>
        <v>0.37606837606837606</v>
      </c>
      <c r="Z39" s="131">
        <f t="shared" si="15"/>
        <v>7.6150618577004661</v>
      </c>
      <c r="AA39" s="15">
        <v>30</v>
      </c>
      <c r="AB39" s="15">
        <v>21</v>
      </c>
      <c r="AC39" s="15">
        <v>0.49199999999999999</v>
      </c>
      <c r="AD39" s="75"/>
      <c r="AE39" s="15">
        <v>7.94</v>
      </c>
    </row>
    <row r="40" spans="1:31" ht="14">
      <c r="A40" s="164" t="s">
        <v>40</v>
      </c>
      <c r="B40" s="181">
        <v>7</v>
      </c>
      <c r="C40" s="181">
        <v>6</v>
      </c>
      <c r="D40" s="182" t="s">
        <v>4</v>
      </c>
      <c r="E40" s="131">
        <f t="shared" si="0"/>
        <v>2.833333333333333</v>
      </c>
      <c r="F40" s="131">
        <v>15</v>
      </c>
      <c r="G40" s="131">
        <f t="shared" si="1"/>
        <v>0.15300000000000002</v>
      </c>
      <c r="H40" s="131">
        <f t="shared" si="11"/>
        <v>0.57650000000000001</v>
      </c>
      <c r="I40" s="131">
        <v>1</v>
      </c>
      <c r="J40" s="131">
        <f t="shared" si="2"/>
        <v>0.68599999999999994</v>
      </c>
      <c r="K40" s="131">
        <f t="shared" si="3"/>
        <v>0.91466666666666663</v>
      </c>
      <c r="L40" s="131">
        <v>3.81</v>
      </c>
      <c r="M40" s="131">
        <v>0.8</v>
      </c>
      <c r="N40" s="131">
        <f t="shared" si="4"/>
        <v>0.51373134328358216</v>
      </c>
      <c r="O40" s="131">
        <f t="shared" si="14"/>
        <v>1.3325512207470909</v>
      </c>
      <c r="P40" s="131">
        <f t="shared" si="13"/>
        <v>8.9727729440705634E-3</v>
      </c>
      <c r="Q40" s="131">
        <f t="shared" si="6"/>
        <v>0.38888888888888895</v>
      </c>
      <c r="R40" s="131">
        <v>48</v>
      </c>
      <c r="S40" s="131">
        <v>0.33700000000000002</v>
      </c>
      <c r="T40" s="131">
        <f>(R40/100+S40)/2</f>
        <v>0.40849999999999997</v>
      </c>
      <c r="U40" s="131">
        <v>0.435</v>
      </c>
      <c r="V40" s="131">
        <v>0.08</v>
      </c>
      <c r="W40" s="131">
        <f>(V40+U40+J40)/3</f>
        <v>0.40033333333333337</v>
      </c>
      <c r="X40" s="131">
        <f>-12/170</f>
        <v>-7.0588235294117646E-2</v>
      </c>
      <c r="Y40" s="131">
        <f t="shared" si="12"/>
        <v>-7.0588235294117646E-2</v>
      </c>
      <c r="Z40" s="131">
        <f t="shared" si="15"/>
        <v>293.10894373382877</v>
      </c>
      <c r="AA40" s="15" t="s">
        <v>223</v>
      </c>
      <c r="AB40" s="15">
        <v>8</v>
      </c>
      <c r="AC40" s="30">
        <v>4.4870000000000001</v>
      </c>
      <c r="AD40" s="75"/>
      <c r="AE40" s="15">
        <v>1.82</v>
      </c>
    </row>
    <row r="41" spans="1:31" ht="14">
      <c r="A41" s="164" t="s">
        <v>41</v>
      </c>
      <c r="B41" s="181">
        <v>3</v>
      </c>
      <c r="C41" s="181">
        <v>4</v>
      </c>
      <c r="D41" s="182" t="s">
        <v>3</v>
      </c>
      <c r="E41" s="131">
        <f t="shared" si="0"/>
        <v>1.8333333333333335</v>
      </c>
      <c r="F41" s="131">
        <v>45</v>
      </c>
      <c r="G41" s="131">
        <f t="shared" si="1"/>
        <v>2.4590000000000001</v>
      </c>
      <c r="H41" s="131">
        <f t="shared" si="11"/>
        <v>1.6045</v>
      </c>
      <c r="I41" s="131">
        <v>0.75</v>
      </c>
      <c r="J41" s="131">
        <f t="shared" si="2"/>
        <v>0.34499999999999997</v>
      </c>
      <c r="K41" s="131">
        <f t="shared" si="3"/>
        <v>0.45999999999999996</v>
      </c>
      <c r="L41" s="131">
        <v>0.34</v>
      </c>
      <c r="M41" s="131">
        <v>0.4</v>
      </c>
      <c r="N41" s="131">
        <f t="shared" si="4"/>
        <v>0.2101492537313433</v>
      </c>
      <c r="O41" s="131">
        <f t="shared" si="14"/>
        <v>2.0439406375590496</v>
      </c>
      <c r="P41" s="131">
        <f t="shared" si="13"/>
        <v>4.0631711236122761E-2</v>
      </c>
      <c r="Q41" s="131">
        <f t="shared" si="6"/>
        <v>0.7222222222222221</v>
      </c>
      <c r="R41" s="131">
        <v>56</v>
      </c>
      <c r="S41" s="131">
        <v>0.311</v>
      </c>
      <c r="T41" s="131">
        <f>(R41/100+S41)/2</f>
        <v>0.4355</v>
      </c>
      <c r="U41" s="131">
        <v>0.45600000000000002</v>
      </c>
      <c r="V41" s="131">
        <v>0.43</v>
      </c>
      <c r="W41" s="131">
        <f>(V41+U41+J41)/3</f>
        <v>0.41033333333333327</v>
      </c>
      <c r="X41" s="131">
        <f>18/125</f>
        <v>0.14399999999999999</v>
      </c>
      <c r="Y41" s="131">
        <f t="shared" si="12"/>
        <v>0.14399999999999999</v>
      </c>
      <c r="Z41" s="131">
        <f t="shared" si="15"/>
        <v>64.727768533210437</v>
      </c>
      <c r="AA41" s="107">
        <v>80</v>
      </c>
      <c r="AB41" s="107"/>
      <c r="AC41" s="107">
        <v>11.427</v>
      </c>
      <c r="AD41" s="107"/>
      <c r="AE41" s="107">
        <v>1.52</v>
      </c>
    </row>
    <row r="42" spans="1:31" ht="14">
      <c r="A42" s="164" t="s">
        <v>42</v>
      </c>
      <c r="B42" s="181">
        <v>3</v>
      </c>
      <c r="C42" s="181">
        <v>4</v>
      </c>
      <c r="D42" s="182" t="s">
        <v>3</v>
      </c>
      <c r="E42" s="131">
        <f t="shared" si="0"/>
        <v>1.8333333333333335</v>
      </c>
      <c r="F42" s="131">
        <v>55.2</v>
      </c>
      <c r="G42" s="131">
        <f t="shared" si="1"/>
        <v>3.2430399999999997</v>
      </c>
      <c r="H42" s="131">
        <f t="shared" si="11"/>
        <v>1.9565199999999998</v>
      </c>
      <c r="I42" s="131">
        <v>0.67</v>
      </c>
      <c r="J42" s="131">
        <f t="shared" si="2"/>
        <v>0.65900000000000003</v>
      </c>
      <c r="K42" s="131">
        <f t="shared" si="3"/>
        <v>0.87866666666666671</v>
      </c>
      <c r="L42" s="131">
        <v>0.03</v>
      </c>
      <c r="M42" s="131">
        <v>0.2</v>
      </c>
      <c r="N42" s="131">
        <f t="shared" si="4"/>
        <v>0.10089552238805971</v>
      </c>
      <c r="O42" s="131">
        <f t="shared" si="14"/>
        <v>2.9573579825619802</v>
      </c>
      <c r="P42" s="131">
        <f t="shared" si="13"/>
        <v>1.2084477509262927E-2</v>
      </c>
      <c r="Q42" s="131">
        <f t="shared" si="6"/>
        <v>0.7222222222222221</v>
      </c>
      <c r="R42" s="131"/>
      <c r="S42" s="131">
        <v>0.57199999999999995</v>
      </c>
      <c r="T42" s="131">
        <f>S42</f>
        <v>0.57199999999999995</v>
      </c>
      <c r="U42" s="131"/>
      <c r="V42" s="131">
        <v>0.78</v>
      </c>
      <c r="W42" s="131">
        <f>(V42+K42)/2</f>
        <v>0.82933333333333337</v>
      </c>
      <c r="X42" s="131" t="s">
        <v>225</v>
      </c>
      <c r="Y42" s="131">
        <v>0.1</v>
      </c>
      <c r="Z42" s="131">
        <f t="shared" si="15"/>
        <v>217.63456450509068</v>
      </c>
      <c r="AA42" s="107">
        <v>11.5</v>
      </c>
      <c r="AB42" s="107">
        <v>6.9</v>
      </c>
      <c r="AC42" s="107">
        <v>17.2</v>
      </c>
      <c r="AD42" s="107"/>
      <c r="AE42" s="107">
        <v>7.67</v>
      </c>
    </row>
    <row r="43" spans="1:31" ht="14">
      <c r="A43" s="164" t="s">
        <v>43</v>
      </c>
      <c r="B43" s="181">
        <v>6</v>
      </c>
      <c r="C43" s="181">
        <v>5</v>
      </c>
      <c r="D43" s="182" t="s">
        <v>4</v>
      </c>
      <c r="E43" s="131">
        <f t="shared" si="0"/>
        <v>2.5</v>
      </c>
      <c r="F43" s="131">
        <v>37.1</v>
      </c>
      <c r="G43" s="131">
        <f t="shared" si="1"/>
        <v>1.8517533333333334</v>
      </c>
      <c r="H43" s="131">
        <f t="shared" si="11"/>
        <v>1.3008766666666667</v>
      </c>
      <c r="I43" s="131">
        <v>0.75</v>
      </c>
      <c r="J43" s="131">
        <f t="shared" si="2"/>
        <v>0.71099999999999997</v>
      </c>
      <c r="K43" s="131">
        <f t="shared" si="3"/>
        <v>0.94799999999999995</v>
      </c>
      <c r="L43" s="131">
        <v>0.06</v>
      </c>
      <c r="M43" s="131">
        <v>0.2</v>
      </c>
      <c r="N43" s="131">
        <f t="shared" si="4"/>
        <v>0.1017910447761194</v>
      </c>
      <c r="O43" s="131">
        <f t="shared" si="14"/>
        <v>1.9444905213368311</v>
      </c>
      <c r="P43" s="131">
        <f t="shared" si="13"/>
        <v>7.3748078420032568E-3</v>
      </c>
      <c r="Q43" s="131">
        <f t="shared" si="6"/>
        <v>0.5</v>
      </c>
      <c r="R43" s="131"/>
      <c r="S43" s="131">
        <v>0.50600000000000001</v>
      </c>
      <c r="T43" s="131">
        <f>S43</f>
        <v>0.50600000000000001</v>
      </c>
      <c r="U43" s="131"/>
      <c r="V43" s="131">
        <v>0.5</v>
      </c>
      <c r="W43" s="131">
        <f>(V43+K43)/2</f>
        <v>0.72399999999999998</v>
      </c>
      <c r="X43" s="131" t="s">
        <v>225</v>
      </c>
      <c r="Y43" s="131">
        <v>0.1</v>
      </c>
      <c r="Z43" s="131">
        <f t="shared" si="15"/>
        <v>356.61946132627634</v>
      </c>
      <c r="AA43" s="105">
        <v>13.4</v>
      </c>
      <c r="AB43" s="105">
        <v>6.5</v>
      </c>
      <c r="AC43" s="105">
        <v>1342</v>
      </c>
      <c r="AD43" s="105"/>
      <c r="AE43" s="105">
        <v>3.14</v>
      </c>
    </row>
    <row r="44" spans="1:31" ht="14">
      <c r="A44" s="164" t="s">
        <v>44</v>
      </c>
      <c r="B44" s="181">
        <v>6</v>
      </c>
      <c r="C44" s="181">
        <v>6</v>
      </c>
      <c r="D44" s="182" t="s">
        <v>4</v>
      </c>
      <c r="E44" s="131">
        <f t="shared" si="0"/>
        <v>2.666666666666667</v>
      </c>
      <c r="F44" s="131">
        <v>34.700000000000003</v>
      </c>
      <c r="G44" s="131">
        <f t="shared" si="1"/>
        <v>1.6672733333333336</v>
      </c>
      <c r="H44" s="131">
        <f t="shared" si="11"/>
        <v>1.2086366666666668</v>
      </c>
      <c r="I44" s="131">
        <v>0.75</v>
      </c>
      <c r="J44" s="131">
        <f t="shared" si="2"/>
        <v>0.78500000000000003</v>
      </c>
      <c r="K44" s="131">
        <f t="shared" si="3"/>
        <v>1.0466666666666666</v>
      </c>
      <c r="L44" s="131">
        <v>0.24</v>
      </c>
      <c r="M44" s="131">
        <v>0.2</v>
      </c>
      <c r="N44" s="131">
        <f t="shared" si="4"/>
        <v>0.10716417910447762</v>
      </c>
      <c r="O44" s="131">
        <f t="shared" si="14"/>
        <v>1.9923305034489232</v>
      </c>
      <c r="P44" s="131">
        <f t="shared" si="13"/>
        <v>4.8298999765970865E-3</v>
      </c>
      <c r="Q44" s="131">
        <f t="shared" si="6"/>
        <v>0.44444444444444431</v>
      </c>
      <c r="R44" s="131"/>
      <c r="S44" s="131">
        <v>0.76100000000000001</v>
      </c>
      <c r="T44" s="131">
        <f>S44</f>
        <v>0.76100000000000001</v>
      </c>
      <c r="U44" s="131"/>
      <c r="V44" s="131">
        <v>0.35</v>
      </c>
      <c r="W44" s="131">
        <f>(V44+K44)/2</f>
        <v>0.69833333333333325</v>
      </c>
      <c r="X44" s="131">
        <f>12/131</f>
        <v>9.1603053435114504E-2</v>
      </c>
      <c r="Y44" s="131">
        <f t="shared" ref="Y44:Y54" si="16">X44</f>
        <v>9.1603053435114504E-2</v>
      </c>
      <c r="Z44" s="131">
        <f t="shared" si="15"/>
        <v>544.52473399935093</v>
      </c>
      <c r="AA44" s="66">
        <v>37.200000000000003</v>
      </c>
      <c r="AB44" s="66">
        <v>10.8</v>
      </c>
      <c r="AC44" s="66">
        <v>46</v>
      </c>
      <c r="AD44" s="75"/>
      <c r="AE44" s="66">
        <v>6.55</v>
      </c>
    </row>
    <row r="45" spans="1:31" ht="14">
      <c r="A45" s="164" t="s">
        <v>45</v>
      </c>
      <c r="B45" s="181">
        <v>1</v>
      </c>
      <c r="C45" s="181">
        <v>1</v>
      </c>
      <c r="D45" s="182" t="s">
        <v>8</v>
      </c>
      <c r="E45" s="131">
        <f t="shared" si="0"/>
        <v>1</v>
      </c>
      <c r="F45" s="131">
        <v>39.4</v>
      </c>
      <c r="G45" s="131">
        <f t="shared" si="1"/>
        <v>2.0285466666666663</v>
      </c>
      <c r="H45" s="131">
        <f t="shared" si="11"/>
        <v>1.3492733333333331</v>
      </c>
      <c r="I45" s="131">
        <v>0.67</v>
      </c>
      <c r="J45" s="131">
        <f t="shared" si="2"/>
        <v>0.19600000000000006</v>
      </c>
      <c r="K45" s="131">
        <f t="shared" si="3"/>
        <v>0.26133333333333342</v>
      </c>
      <c r="L45" s="131">
        <v>0.09</v>
      </c>
      <c r="M45" s="131">
        <v>0.2</v>
      </c>
      <c r="N45" s="131">
        <f t="shared" si="4"/>
        <v>0.10268656716417911</v>
      </c>
      <c r="O45" s="131">
        <f t="shared" si="14"/>
        <v>2.2314836243746932</v>
      </c>
      <c r="P45" s="131">
        <f t="shared" si="13"/>
        <v>0.47411309550219155</v>
      </c>
      <c r="Q45" s="131">
        <f t="shared" si="6"/>
        <v>1</v>
      </c>
      <c r="R45" s="131">
        <v>50.3</v>
      </c>
      <c r="S45" s="131">
        <f>1-0.725</f>
        <v>0.27500000000000002</v>
      </c>
      <c r="T45" s="131">
        <f>(R45/100+S45)/2</f>
        <v>0.38900000000000001</v>
      </c>
      <c r="U45" s="131">
        <v>0.44500000000000001</v>
      </c>
      <c r="V45" s="131">
        <v>0.6</v>
      </c>
      <c r="W45" s="131">
        <f t="shared" ref="W45:W51" si="17">(V45+U45+J45)/3</f>
        <v>0.41366666666666668</v>
      </c>
      <c r="X45" s="131">
        <f>0</f>
        <v>0</v>
      </c>
      <c r="Y45" s="131">
        <f t="shared" si="16"/>
        <v>0</v>
      </c>
      <c r="Z45" s="131">
        <f t="shared" si="15"/>
        <v>5.5471996554202816</v>
      </c>
      <c r="AA45" s="15">
        <v>60</v>
      </c>
      <c r="AB45" s="15">
        <v>20</v>
      </c>
      <c r="AC45" s="15">
        <v>0.66900000000000004</v>
      </c>
      <c r="AD45" s="75"/>
      <c r="AE45" s="15">
        <v>3.41</v>
      </c>
    </row>
    <row r="46" spans="1:31" ht="14">
      <c r="A46" s="165" t="s">
        <v>196</v>
      </c>
      <c r="B46" s="181">
        <v>7</v>
      </c>
      <c r="C46" s="181">
        <v>6</v>
      </c>
      <c r="D46" s="182" t="s">
        <v>4</v>
      </c>
      <c r="E46" s="131">
        <f t="shared" si="0"/>
        <v>2.833333333333333</v>
      </c>
      <c r="F46" s="131">
        <v>31.8</v>
      </c>
      <c r="G46" s="131">
        <f t="shared" si="1"/>
        <v>1.4443600000000001</v>
      </c>
      <c r="H46" s="131">
        <f t="shared" si="11"/>
        <v>1.09718</v>
      </c>
      <c r="I46" s="131">
        <v>0.75</v>
      </c>
      <c r="J46" s="131">
        <f t="shared" si="2"/>
        <v>0.69799999999999995</v>
      </c>
      <c r="K46" s="131">
        <f t="shared" si="3"/>
        <v>0.93066666666666664</v>
      </c>
      <c r="L46" s="131">
        <v>0.16</v>
      </c>
      <c r="M46" s="131">
        <v>0.2</v>
      </c>
      <c r="N46" s="131">
        <f t="shared" si="4"/>
        <v>0.10477611940298508</v>
      </c>
      <c r="O46" s="131">
        <f t="shared" si="14"/>
        <v>1.9591653065245767</v>
      </c>
      <c r="P46" s="131">
        <f t="shared" si="13"/>
        <v>6.2482904477616152E-3</v>
      </c>
      <c r="Q46" s="131">
        <f t="shared" si="6"/>
        <v>0.38888888888888895</v>
      </c>
      <c r="R46" s="131">
        <v>41.5</v>
      </c>
      <c r="S46" s="131">
        <v>0.60299999999999998</v>
      </c>
      <c r="T46" s="131">
        <f>(R46/100+S46)/2</f>
        <v>0.50900000000000001</v>
      </c>
      <c r="U46" s="131">
        <v>0.65800000000000003</v>
      </c>
      <c r="V46" s="131">
        <v>1.58</v>
      </c>
      <c r="W46" s="131">
        <f t="shared" si="17"/>
        <v>0.97866666666666668</v>
      </c>
      <c r="X46" s="131">
        <f>29/120</f>
        <v>0.24166666666666667</v>
      </c>
      <c r="Y46" s="131">
        <f t="shared" si="16"/>
        <v>0.24166666666666667</v>
      </c>
      <c r="Z46" s="131">
        <f t="shared" si="15"/>
        <v>420.91513222503443</v>
      </c>
      <c r="AA46" s="15" t="s">
        <v>223</v>
      </c>
      <c r="AB46" s="15"/>
      <c r="AC46" s="15"/>
      <c r="AD46" s="75"/>
      <c r="AE46" s="15">
        <v>2.89</v>
      </c>
    </row>
    <row r="47" spans="1:31" ht="14">
      <c r="A47" s="164" t="s">
        <v>46</v>
      </c>
      <c r="B47" s="181">
        <v>1</v>
      </c>
      <c r="C47" s="181">
        <v>2</v>
      </c>
      <c r="D47" s="182" t="s">
        <v>8</v>
      </c>
      <c r="E47" s="131">
        <f t="shared" si="0"/>
        <v>1.1666666666666667</v>
      </c>
      <c r="F47" s="131">
        <v>3.3</v>
      </c>
      <c r="G47" s="131">
        <f t="shared" si="1"/>
        <v>-0.74634</v>
      </c>
      <c r="H47" s="131">
        <v>0.75</v>
      </c>
      <c r="I47" s="131">
        <v>0.75</v>
      </c>
      <c r="J47" s="131">
        <f t="shared" si="2"/>
        <v>0.31900000000000006</v>
      </c>
      <c r="K47" s="131">
        <f t="shared" si="3"/>
        <v>0.4253333333333334</v>
      </c>
      <c r="L47" s="131">
        <v>0.17</v>
      </c>
      <c r="M47" s="131">
        <v>0.2</v>
      </c>
      <c r="N47" s="131">
        <f t="shared" si="4"/>
        <v>0.10507462686567165</v>
      </c>
      <c r="O47" s="131">
        <f t="shared" si="14"/>
        <v>2.0441190846103012</v>
      </c>
      <c r="P47" s="131">
        <f t="shared" si="13"/>
        <v>0.59047650012391417</v>
      </c>
      <c r="Q47" s="131">
        <f t="shared" si="6"/>
        <v>0.94444444444444442</v>
      </c>
      <c r="R47" s="131">
        <v>27</v>
      </c>
      <c r="S47" s="131">
        <f>1-0.767</f>
        <v>0.23299999999999998</v>
      </c>
      <c r="T47" s="131">
        <f>(R47/100+S47)/2</f>
        <v>0.2515</v>
      </c>
      <c r="U47" s="131">
        <v>0.439</v>
      </c>
      <c r="V47" s="131">
        <v>0.93</v>
      </c>
      <c r="W47" s="131">
        <f t="shared" si="17"/>
        <v>0.56266666666666676</v>
      </c>
      <c r="X47" s="131">
        <f>-6/105</f>
        <v>-5.7142857142857141E-2</v>
      </c>
      <c r="Y47" s="131">
        <f t="shared" si="16"/>
        <v>-5.7142857142857141E-2</v>
      </c>
      <c r="Z47" s="131">
        <f t="shared" si="15"/>
        <v>4.4540299223560673</v>
      </c>
      <c r="AA47" s="107">
        <v>71</v>
      </c>
      <c r="AB47" s="107"/>
      <c r="AC47" s="107"/>
      <c r="AD47" s="107"/>
      <c r="AE47" s="107">
        <v>2.15</v>
      </c>
    </row>
    <row r="48" spans="1:31" ht="14">
      <c r="A48" s="164" t="s">
        <v>47</v>
      </c>
      <c r="B48" s="181">
        <v>7</v>
      </c>
      <c r="C48" s="181">
        <v>6</v>
      </c>
      <c r="D48" s="182" t="s">
        <v>4</v>
      </c>
      <c r="E48" s="131">
        <f t="shared" si="0"/>
        <v>2.833333333333333</v>
      </c>
      <c r="F48" s="131"/>
      <c r="G48" s="131">
        <f t="shared" si="1"/>
        <v>-1</v>
      </c>
      <c r="H48" s="131">
        <v>1</v>
      </c>
      <c r="I48" s="131">
        <v>1</v>
      </c>
      <c r="J48" s="131">
        <f t="shared" si="2"/>
        <v>0.64800000000000002</v>
      </c>
      <c r="K48" s="131">
        <f t="shared" si="3"/>
        <v>0.86399999999999999</v>
      </c>
      <c r="L48" s="131">
        <v>0</v>
      </c>
      <c r="M48" s="131">
        <v>0.2</v>
      </c>
      <c r="N48" s="131">
        <f t="shared" si="4"/>
        <v>0.1</v>
      </c>
      <c r="O48" s="131">
        <f t="shared" si="14"/>
        <v>1.7709870332040294</v>
      </c>
      <c r="P48" s="131">
        <f t="shared" si="13"/>
        <v>1.0075154659211466E-2</v>
      </c>
      <c r="Q48" s="131">
        <f t="shared" si="6"/>
        <v>0.38888888888888895</v>
      </c>
      <c r="R48" s="131"/>
      <c r="S48" s="184">
        <v>0.79</v>
      </c>
      <c r="T48" s="131">
        <f>S48</f>
        <v>0.79</v>
      </c>
      <c r="U48" s="131">
        <v>0.34899999999999998</v>
      </c>
      <c r="V48" s="131">
        <v>0.85</v>
      </c>
      <c r="W48" s="131">
        <f t="shared" si="17"/>
        <v>0.6156666666666667</v>
      </c>
      <c r="X48" s="131">
        <f>8/125</f>
        <v>6.4000000000000001E-2</v>
      </c>
      <c r="Y48" s="131">
        <f t="shared" si="16"/>
        <v>6.4000000000000001E-2</v>
      </c>
      <c r="Z48" s="131">
        <f t="shared" si="15"/>
        <v>261.03817648054223</v>
      </c>
      <c r="AA48" s="107">
        <v>24.2</v>
      </c>
      <c r="AB48" s="107">
        <v>6.5</v>
      </c>
      <c r="AC48" s="107">
        <v>4.3</v>
      </c>
      <c r="AD48" s="107"/>
      <c r="AE48" s="107">
        <v>8.0399999999999991</v>
      </c>
    </row>
    <row r="49" spans="1:31" ht="14">
      <c r="A49" s="164" t="s">
        <v>199</v>
      </c>
      <c r="B49" s="181">
        <v>1</v>
      </c>
      <c r="C49" s="181">
        <v>1</v>
      </c>
      <c r="D49" s="182" t="s">
        <v>8</v>
      </c>
      <c r="E49" s="131">
        <f t="shared" si="0"/>
        <v>1</v>
      </c>
      <c r="F49" s="131"/>
      <c r="G49" s="131">
        <f t="shared" si="1"/>
        <v>-1</v>
      </c>
      <c r="H49" s="131">
        <v>0.67</v>
      </c>
      <c r="I49" s="131">
        <v>0.67</v>
      </c>
      <c r="J49" s="131">
        <f t="shared" si="2"/>
        <v>0.27100000000000002</v>
      </c>
      <c r="K49" s="131">
        <f t="shared" si="3"/>
        <v>0.36133333333333334</v>
      </c>
      <c r="L49" s="131">
        <v>0.09</v>
      </c>
      <c r="M49" s="131">
        <v>0.2</v>
      </c>
      <c r="N49" s="131">
        <f t="shared" si="4"/>
        <v>0.10268656716417911</v>
      </c>
      <c r="O49" s="131">
        <f t="shared" si="14"/>
        <v>2.8747801175610967</v>
      </c>
      <c r="P49" s="131">
        <f t="shared" si="13"/>
        <v>0.84616910274589396</v>
      </c>
      <c r="Q49" s="131">
        <f t="shared" si="6"/>
        <v>1</v>
      </c>
      <c r="R49" s="131">
        <v>29</v>
      </c>
      <c r="S49" s="131">
        <f>1-0.81</f>
        <v>0.18999999999999995</v>
      </c>
      <c r="T49" s="131">
        <f>(R49/100+S49)/2</f>
        <v>0.23999999999999996</v>
      </c>
      <c r="U49" s="131">
        <v>0.66800000000000004</v>
      </c>
      <c r="V49" s="131">
        <v>1</v>
      </c>
      <c r="W49" s="131">
        <f t="shared" si="17"/>
        <v>0.64633333333333332</v>
      </c>
      <c r="X49" s="131">
        <f>19/112</f>
        <v>0.16964285714285715</v>
      </c>
      <c r="Y49" s="131">
        <f t="shared" si="16"/>
        <v>0.16964285714285715</v>
      </c>
      <c r="Z49" s="131">
        <f t="shared" si="15"/>
        <v>3.1081257770644379</v>
      </c>
      <c r="AA49" s="74">
        <v>42</v>
      </c>
      <c r="AB49" s="74"/>
      <c r="AC49" s="74">
        <v>21</v>
      </c>
      <c r="AD49" s="74"/>
      <c r="AE49" s="74">
        <v>3.02</v>
      </c>
    </row>
    <row r="50" spans="1:31" ht="14">
      <c r="A50" s="164" t="s">
        <v>48</v>
      </c>
      <c r="B50" s="181">
        <v>1</v>
      </c>
      <c r="C50" s="181">
        <v>1</v>
      </c>
      <c r="D50" s="182" t="s">
        <v>8</v>
      </c>
      <c r="E50" s="131">
        <f t="shared" si="0"/>
        <v>1</v>
      </c>
      <c r="F50" s="131"/>
      <c r="G50" s="131">
        <f t="shared" si="1"/>
        <v>-1</v>
      </c>
      <c r="H50" s="131">
        <v>0.75</v>
      </c>
      <c r="I50" s="131">
        <v>0.75</v>
      </c>
      <c r="J50" s="131">
        <f t="shared" si="2"/>
        <v>0.18100000000000005</v>
      </c>
      <c r="K50" s="131">
        <f t="shared" si="3"/>
        <v>0.2413333333333334</v>
      </c>
      <c r="L50" s="131">
        <v>0.43</v>
      </c>
      <c r="M50" s="131">
        <v>0.4</v>
      </c>
      <c r="N50" s="131">
        <f t="shared" si="4"/>
        <v>0.21283582089552239</v>
      </c>
      <c r="O50" s="131">
        <f t="shared" si="14"/>
        <v>1.9517874896068865</v>
      </c>
      <c r="P50" s="131">
        <f t="shared" si="13"/>
        <v>0.78884509513487155</v>
      </c>
      <c r="Q50" s="131">
        <f t="shared" si="6"/>
        <v>1</v>
      </c>
      <c r="R50" s="131">
        <v>31</v>
      </c>
      <c r="S50" s="131">
        <f>1-0.841</f>
        <v>0.15900000000000003</v>
      </c>
      <c r="T50" s="131">
        <f>(R50/100+S50)/2</f>
        <v>0.23450000000000001</v>
      </c>
      <c r="U50" s="131">
        <v>0.40699999999999997</v>
      </c>
      <c r="V50" s="131">
        <v>0.82</v>
      </c>
      <c r="W50" s="131">
        <f t="shared" si="17"/>
        <v>0.46933333333333332</v>
      </c>
      <c r="X50" s="131">
        <f>-4/114</f>
        <v>-3.5087719298245612E-2</v>
      </c>
      <c r="Y50" s="131">
        <f t="shared" si="16"/>
        <v>-3.5087719298245612E-2</v>
      </c>
      <c r="Z50" s="131">
        <f t="shared" si="15"/>
        <v>3.3339878972694121</v>
      </c>
      <c r="AA50" s="49">
        <v>18</v>
      </c>
      <c r="AB50" s="49">
        <v>17.899999999999999</v>
      </c>
      <c r="AC50" s="49">
        <v>4.29</v>
      </c>
      <c r="AD50" s="49"/>
      <c r="AE50" s="49">
        <v>6.81</v>
      </c>
    </row>
    <row r="51" spans="1:31" ht="14">
      <c r="A51" s="164" t="s">
        <v>49</v>
      </c>
      <c r="B51" s="181">
        <v>1</v>
      </c>
      <c r="C51" s="181">
        <v>1</v>
      </c>
      <c r="D51" s="182" t="s">
        <v>8</v>
      </c>
      <c r="E51" s="131">
        <f t="shared" si="0"/>
        <v>1</v>
      </c>
      <c r="F51" s="131">
        <v>28.7</v>
      </c>
      <c r="G51" s="131">
        <f t="shared" si="1"/>
        <v>1.2060733333333333</v>
      </c>
      <c r="H51" s="131">
        <f>(G51+I51)/2</f>
        <v>0.97803666666666667</v>
      </c>
      <c r="I51" s="131">
        <v>0.75</v>
      </c>
      <c r="J51" s="131">
        <f t="shared" si="2"/>
        <v>4.8000000000000043E-2</v>
      </c>
      <c r="K51" s="131">
        <f t="shared" si="3"/>
        <v>6.4000000000000057E-2</v>
      </c>
      <c r="L51" s="131">
        <v>0.78</v>
      </c>
      <c r="M51" s="131">
        <v>0.4</v>
      </c>
      <c r="N51" s="131">
        <f t="shared" si="4"/>
        <v>0.22328358208955226</v>
      </c>
      <c r="O51" s="131">
        <f t="shared" si="14"/>
        <v>1.9807984084117158</v>
      </c>
      <c r="P51" s="131">
        <f t="shared" si="13"/>
        <v>0.74205166966911507</v>
      </c>
      <c r="Q51" s="131">
        <f t="shared" si="6"/>
        <v>1</v>
      </c>
      <c r="R51" s="131">
        <v>24.8</v>
      </c>
      <c r="S51" s="131">
        <f>1-0.863</f>
        <v>0.13700000000000001</v>
      </c>
      <c r="T51" s="131">
        <f>(R51/100+S51)/2</f>
        <v>0.1925</v>
      </c>
      <c r="U51" s="131">
        <v>0.46500000000000002</v>
      </c>
      <c r="V51" s="131">
        <v>0.9</v>
      </c>
      <c r="W51" s="131">
        <f t="shared" si="17"/>
        <v>0.47100000000000003</v>
      </c>
      <c r="X51" s="131">
        <f>2/100</f>
        <v>0.02</v>
      </c>
      <c r="Y51" s="131">
        <f t="shared" si="16"/>
        <v>0.02</v>
      </c>
      <c r="Z51" s="131">
        <f t="shared" si="15"/>
        <v>3.5442275888587806</v>
      </c>
      <c r="AA51" s="25" t="s">
        <v>223</v>
      </c>
      <c r="AB51" s="25">
        <v>3.8</v>
      </c>
      <c r="AC51" s="25">
        <v>11.24</v>
      </c>
      <c r="AD51" s="75"/>
      <c r="AE51" s="25">
        <v>3.52</v>
      </c>
    </row>
    <row r="52" spans="1:31" ht="14">
      <c r="A52" s="164" t="s">
        <v>50</v>
      </c>
      <c r="B52" s="181">
        <v>6</v>
      </c>
      <c r="C52" s="181">
        <v>5</v>
      </c>
      <c r="D52" s="182" t="s">
        <v>4</v>
      </c>
      <c r="E52" s="131">
        <f t="shared" si="0"/>
        <v>2.5</v>
      </c>
      <c r="F52" s="131">
        <v>30.9</v>
      </c>
      <c r="G52" s="131">
        <f t="shared" si="1"/>
        <v>1.3751799999999998</v>
      </c>
      <c r="H52" s="131">
        <f>(G52+I52)/2</f>
        <v>1.0625899999999999</v>
      </c>
      <c r="I52" s="131">
        <v>0.75</v>
      </c>
      <c r="J52" s="131">
        <f t="shared" si="2"/>
        <v>0.78</v>
      </c>
      <c r="K52" s="131">
        <f t="shared" si="3"/>
        <v>1.04</v>
      </c>
      <c r="L52" s="131">
        <v>0.04</v>
      </c>
      <c r="M52" s="131">
        <v>0.2</v>
      </c>
      <c r="N52" s="131">
        <f t="shared" si="4"/>
        <v>0.10119402985074627</v>
      </c>
      <c r="O52" s="131">
        <f t="shared" si="14"/>
        <v>2.1180066985178025</v>
      </c>
      <c r="P52" s="131">
        <f t="shared" si="13"/>
        <v>1.0647009456802419E-2</v>
      </c>
      <c r="Q52" s="131">
        <f t="shared" si="6"/>
        <v>0.5</v>
      </c>
      <c r="R52" s="131"/>
      <c r="S52" s="131">
        <v>0.59799999999999998</v>
      </c>
      <c r="T52" s="131">
        <f>S52</f>
        <v>0.59799999999999998</v>
      </c>
      <c r="U52" s="131"/>
      <c r="V52" s="131">
        <v>0.52</v>
      </c>
      <c r="W52" s="131">
        <f>(V52+K52)/2</f>
        <v>0.78</v>
      </c>
      <c r="X52" s="131">
        <f>15/122</f>
        <v>0.12295081967213115</v>
      </c>
      <c r="Y52" s="131">
        <f t="shared" si="16"/>
        <v>0.12295081967213115</v>
      </c>
      <c r="Z52" s="131">
        <f t="shared" si="15"/>
        <v>247.01771992131384</v>
      </c>
      <c r="AA52" s="79" t="s">
        <v>223</v>
      </c>
      <c r="AB52" s="79">
        <v>5.0999999999999996</v>
      </c>
      <c r="AC52" s="79">
        <v>0.83799999999999997</v>
      </c>
      <c r="AD52" s="75"/>
      <c r="AE52" s="79">
        <v>7.29</v>
      </c>
    </row>
    <row r="53" spans="1:31" ht="14">
      <c r="A53" s="164" t="s">
        <v>51</v>
      </c>
      <c r="B53" s="181">
        <v>1</v>
      </c>
      <c r="C53" s="181">
        <v>1</v>
      </c>
      <c r="D53" s="182" t="s">
        <v>8</v>
      </c>
      <c r="E53" s="131">
        <f t="shared" si="0"/>
        <v>1</v>
      </c>
      <c r="F53" s="131"/>
      <c r="G53" s="131">
        <f t="shared" si="1"/>
        <v>-1</v>
      </c>
      <c r="H53" s="131">
        <v>0.75</v>
      </c>
      <c r="I53" s="131">
        <v>0.75</v>
      </c>
      <c r="J53" s="131">
        <f t="shared" si="2"/>
        <v>0.19000000000000006</v>
      </c>
      <c r="K53" s="131">
        <f t="shared" si="3"/>
        <v>0.25333333333333341</v>
      </c>
      <c r="L53" s="131">
        <v>0.03</v>
      </c>
      <c r="M53" s="131">
        <v>0.2</v>
      </c>
      <c r="N53" s="131">
        <f t="shared" si="4"/>
        <v>0.10089552238805971</v>
      </c>
      <c r="O53" s="131">
        <f t="shared" si="14"/>
        <v>2.0034055046554986</v>
      </c>
      <c r="P53" s="131">
        <f t="shared" si="13"/>
        <v>0.87175661128523652</v>
      </c>
      <c r="Q53" s="131">
        <f t="shared" si="6"/>
        <v>1</v>
      </c>
      <c r="R53" s="131"/>
      <c r="S53" s="184">
        <v>0.15</v>
      </c>
      <c r="T53" s="131">
        <f>S53</f>
        <v>0.15</v>
      </c>
      <c r="U53" s="131">
        <v>0.78</v>
      </c>
      <c r="V53" s="131">
        <v>0.91</v>
      </c>
      <c r="W53" s="131">
        <f>(V53+U53+J53)/3</f>
        <v>0.62666666666666659</v>
      </c>
      <c r="X53" s="131">
        <f>-9/110</f>
        <v>-8.1818181818181818E-2</v>
      </c>
      <c r="Y53" s="131">
        <f t="shared" si="16"/>
        <v>-8.1818181818181818E-2</v>
      </c>
      <c r="Z53" s="131">
        <f t="shared" si="15"/>
        <v>3.0168971086122003</v>
      </c>
      <c r="AA53" s="49">
        <v>9</v>
      </c>
      <c r="AB53" s="49">
        <v>8.5</v>
      </c>
      <c r="AC53" s="49">
        <v>10.548</v>
      </c>
      <c r="AD53" s="49"/>
      <c r="AE53" s="49">
        <v>8.19</v>
      </c>
    </row>
    <row r="54" spans="1:31" ht="14">
      <c r="A54" s="164" t="s">
        <v>52</v>
      </c>
      <c r="B54" s="181">
        <v>2</v>
      </c>
      <c r="C54" s="181">
        <v>2</v>
      </c>
      <c r="D54" s="182" t="s">
        <v>8</v>
      </c>
      <c r="E54" s="131">
        <f t="shared" si="0"/>
        <v>1.3333333333333333</v>
      </c>
      <c r="F54" s="131">
        <v>37.799999999999997</v>
      </c>
      <c r="G54" s="131">
        <f t="shared" si="1"/>
        <v>1.9055599999999999</v>
      </c>
      <c r="H54" s="131">
        <f>(G54+I54)/2</f>
        <v>1.32778</v>
      </c>
      <c r="I54" s="131">
        <v>0.75</v>
      </c>
      <c r="J54" s="131">
        <f t="shared" si="2"/>
        <v>0.38</v>
      </c>
      <c r="K54" s="131">
        <f t="shared" si="3"/>
        <v>0.50666666666666671</v>
      </c>
      <c r="L54" s="131">
        <v>0.12</v>
      </c>
      <c r="M54" s="131">
        <v>0.2</v>
      </c>
      <c r="N54" s="131">
        <f t="shared" si="4"/>
        <v>0.10358208955223881</v>
      </c>
      <c r="O54" s="131">
        <f t="shared" si="14"/>
        <v>2.3084002855001979</v>
      </c>
      <c r="P54" s="131">
        <f t="shared" si="13"/>
        <v>0.19848246993285179</v>
      </c>
      <c r="Q54" s="131">
        <f t="shared" si="6"/>
        <v>0.88888888888888895</v>
      </c>
      <c r="R54" s="131">
        <v>48.4</v>
      </c>
      <c r="S54" s="131">
        <v>0.33700000000000002</v>
      </c>
      <c r="T54" s="131">
        <f>(R54/100+S54)/2</f>
        <v>0.41049999999999998</v>
      </c>
      <c r="U54" s="131">
        <v>0.36399999999999999</v>
      </c>
      <c r="V54" s="131">
        <v>0.55000000000000004</v>
      </c>
      <c r="W54" s="131">
        <f>(V54+U54+J54)/3</f>
        <v>0.43133333333333335</v>
      </c>
      <c r="X54" s="131">
        <f>14/141</f>
        <v>9.9290780141843976E-2</v>
      </c>
      <c r="Y54" s="131">
        <f t="shared" si="16"/>
        <v>9.9290780141843976E-2</v>
      </c>
      <c r="Z54" s="131">
        <f t="shared" si="15"/>
        <v>13.250540467829476</v>
      </c>
      <c r="AA54" s="49">
        <v>13.4</v>
      </c>
      <c r="AB54" s="49">
        <v>6</v>
      </c>
      <c r="AC54" s="49">
        <v>5.5</v>
      </c>
      <c r="AD54" s="75"/>
      <c r="AE54" s="49">
        <v>9.52</v>
      </c>
    </row>
    <row r="55" spans="1:31" ht="14">
      <c r="A55" s="164" t="s">
        <v>53</v>
      </c>
      <c r="B55" s="181">
        <v>3</v>
      </c>
      <c r="C55" s="181">
        <v>4</v>
      </c>
      <c r="D55" s="182" t="s">
        <v>3</v>
      </c>
      <c r="E55" s="131">
        <f t="shared" si="0"/>
        <v>1.8333333333333335</v>
      </c>
      <c r="F55" s="131"/>
      <c r="G55" s="131">
        <f t="shared" si="1"/>
        <v>-1</v>
      </c>
      <c r="H55" s="131">
        <v>0.75</v>
      </c>
      <c r="I55" s="131">
        <v>0.75</v>
      </c>
      <c r="J55" s="131">
        <f t="shared" si="2"/>
        <v>0.27800000000000002</v>
      </c>
      <c r="K55" s="131">
        <f t="shared" si="3"/>
        <v>0.3706666666666667</v>
      </c>
      <c r="L55" s="131">
        <v>0.03</v>
      </c>
      <c r="M55" s="131">
        <v>0.2</v>
      </c>
      <c r="N55" s="131">
        <f t="shared" si="4"/>
        <v>0.10089552238805971</v>
      </c>
      <c r="O55" s="131">
        <f t="shared" si="14"/>
        <v>1.852724776014431</v>
      </c>
      <c r="P55" s="131">
        <f t="shared" si="13"/>
        <v>0.28011730034273502</v>
      </c>
      <c r="Q55" s="131">
        <f t="shared" si="6"/>
        <v>0.7222222222222221</v>
      </c>
      <c r="R55" s="131">
        <v>36.9</v>
      </c>
      <c r="S55" s="131">
        <v>0.498</v>
      </c>
      <c r="T55" s="131">
        <f>(R55/100+S55)/2</f>
        <v>0.4335</v>
      </c>
      <c r="U55" s="131"/>
      <c r="V55" s="131">
        <v>0.27</v>
      </c>
      <c r="W55" s="131">
        <f>(V55+K55)/2</f>
        <v>0.32033333333333336</v>
      </c>
      <c r="X55" s="131" t="s">
        <v>223</v>
      </c>
      <c r="Y55" s="131">
        <v>0.1</v>
      </c>
      <c r="Z55" s="131">
        <f t="shared" si="15"/>
        <v>9.3889238429118329</v>
      </c>
      <c r="AA55" s="15">
        <v>42</v>
      </c>
      <c r="AB55" s="15">
        <v>59</v>
      </c>
      <c r="AC55" s="15">
        <v>0.81799999999999995</v>
      </c>
      <c r="AD55" s="75"/>
      <c r="AE55" s="15">
        <v>2.2000000000000002</v>
      </c>
    </row>
    <row r="56" spans="1:31" ht="14">
      <c r="A56" s="164" t="s">
        <v>54</v>
      </c>
      <c r="B56" s="181">
        <v>3</v>
      </c>
      <c r="C56" s="181">
        <v>3</v>
      </c>
      <c r="D56" s="182" t="s">
        <v>3</v>
      </c>
      <c r="E56" s="131">
        <f t="shared" si="0"/>
        <v>1.6666666666666665</v>
      </c>
      <c r="F56" s="131">
        <v>35.299999999999997</v>
      </c>
      <c r="G56" s="131">
        <f t="shared" si="1"/>
        <v>1.7133933333333333</v>
      </c>
      <c r="H56" s="131">
        <f>(G56+I56)/2</f>
        <v>1.2316966666666667</v>
      </c>
      <c r="I56" s="131">
        <v>0.75</v>
      </c>
      <c r="J56" s="131">
        <f t="shared" si="2"/>
        <v>0.42300000000000004</v>
      </c>
      <c r="K56" s="131">
        <f t="shared" si="3"/>
        <v>0.56400000000000006</v>
      </c>
      <c r="L56" s="131">
        <v>0.17</v>
      </c>
      <c r="M56" s="131">
        <v>0.2</v>
      </c>
      <c r="N56" s="131">
        <f t="shared" si="4"/>
        <v>0.10507462686567165</v>
      </c>
      <c r="O56" s="131">
        <f t="shared" si="14"/>
        <v>1.8674158103863723</v>
      </c>
      <c r="P56" s="131">
        <f t="shared" si="13"/>
        <v>0.11069591851864119</v>
      </c>
      <c r="Q56" s="131">
        <f t="shared" si="6"/>
        <v>0.77777777777777779</v>
      </c>
      <c r="R56" s="131">
        <v>46.9</v>
      </c>
      <c r="S56" s="131">
        <f>1-0.695</f>
        <v>0.30500000000000005</v>
      </c>
      <c r="T56" s="131">
        <f>(R56/100+S56)/2</f>
        <v>0.38700000000000001</v>
      </c>
      <c r="U56" s="131">
        <v>0.255</v>
      </c>
      <c r="V56" s="131">
        <f>1-0.58</f>
        <v>0.42000000000000004</v>
      </c>
      <c r="W56" s="131">
        <f>(V56+U56+J56)/3</f>
        <v>0.36600000000000005</v>
      </c>
      <c r="X56" s="131">
        <f>6/120</f>
        <v>0.05</v>
      </c>
      <c r="Y56" s="131">
        <f>X56</f>
        <v>0.05</v>
      </c>
      <c r="Z56" s="131">
        <f t="shared" si="15"/>
        <v>23.758780226003616</v>
      </c>
      <c r="AA56" s="15">
        <v>29</v>
      </c>
      <c r="AB56" s="15">
        <v>23</v>
      </c>
      <c r="AC56" s="15">
        <v>7.0999999999999994E-2</v>
      </c>
      <c r="AD56" s="75"/>
      <c r="AE56" s="108">
        <v>8.1</v>
      </c>
    </row>
    <row r="57" spans="1:31" ht="14">
      <c r="A57" s="164" t="s">
        <v>55</v>
      </c>
      <c r="B57" s="181">
        <v>3</v>
      </c>
      <c r="C57" s="181">
        <v>3</v>
      </c>
      <c r="D57" s="182" t="s">
        <v>3</v>
      </c>
      <c r="E57" s="131">
        <f t="shared" si="0"/>
        <v>1.6666666666666665</v>
      </c>
      <c r="F57" s="131">
        <v>27.6</v>
      </c>
      <c r="G57" s="131">
        <f t="shared" si="1"/>
        <v>1.1215199999999999</v>
      </c>
      <c r="H57" s="131">
        <f>(G57+I57)/2</f>
        <v>1.0607599999999999</v>
      </c>
      <c r="I57" s="131">
        <v>1</v>
      </c>
      <c r="J57" s="131">
        <f t="shared" si="2"/>
        <v>0.40100000000000002</v>
      </c>
      <c r="K57" s="131">
        <f t="shared" si="3"/>
        <v>0.53466666666666673</v>
      </c>
      <c r="L57" s="131">
        <v>0.4</v>
      </c>
      <c r="M57" s="131">
        <v>0.6</v>
      </c>
      <c r="N57" s="131">
        <f t="shared" si="4"/>
        <v>0.31194029850746269</v>
      </c>
      <c r="O57" s="131">
        <f t="shared" si="14"/>
        <v>2.0720086902375203</v>
      </c>
      <c r="P57" s="131">
        <f t="shared" si="13"/>
        <v>0.10948572584889432</v>
      </c>
      <c r="Q57" s="131">
        <f t="shared" si="6"/>
        <v>0.77777777777777779</v>
      </c>
      <c r="R57" s="131">
        <v>34.4</v>
      </c>
      <c r="S57" s="131">
        <v>0.38</v>
      </c>
      <c r="T57" s="131">
        <f>(R57/100+S57)/2</f>
        <v>0.36199999999999999</v>
      </c>
      <c r="U57" s="131">
        <v>0.85699999999999998</v>
      </c>
      <c r="V57" s="131">
        <v>0.88</v>
      </c>
      <c r="W57" s="131">
        <f>(V57+U57+J57)/3</f>
        <v>0.71266666666666667</v>
      </c>
      <c r="X57" s="131">
        <v>-0.13800000000000001</v>
      </c>
      <c r="Y57" s="131">
        <f>X57</f>
        <v>-0.13800000000000001</v>
      </c>
      <c r="Z57" s="131">
        <f t="shared" si="15"/>
        <v>24.021396210404351</v>
      </c>
      <c r="AA57" s="45">
        <v>42.2</v>
      </c>
      <c r="AB57" s="45">
        <v>13.3</v>
      </c>
      <c r="AC57" s="45">
        <v>9.3800000000000008</v>
      </c>
      <c r="AD57" s="75"/>
      <c r="AE57" s="45">
        <v>6.2</v>
      </c>
    </row>
    <row r="58" spans="1:31" ht="14">
      <c r="A58" s="164" t="s">
        <v>56</v>
      </c>
      <c r="B58" s="181">
        <v>2</v>
      </c>
      <c r="C58" s="181">
        <v>3</v>
      </c>
      <c r="D58" s="182" t="s">
        <v>8</v>
      </c>
      <c r="E58" s="131">
        <f t="shared" si="0"/>
        <v>1.5</v>
      </c>
      <c r="F58" s="131">
        <v>36.299999999999997</v>
      </c>
      <c r="G58" s="131">
        <f t="shared" si="1"/>
        <v>1.7902599999999995</v>
      </c>
      <c r="H58" s="131">
        <f>(G58+I58)/2</f>
        <v>1.2701299999999998</v>
      </c>
      <c r="I58" s="131">
        <v>0.75</v>
      </c>
      <c r="J58" s="131">
        <f t="shared" si="2"/>
        <v>0.35299999999999998</v>
      </c>
      <c r="K58" s="131">
        <f t="shared" si="3"/>
        <v>0.47066666666666662</v>
      </c>
      <c r="L58" s="131">
        <v>0.1</v>
      </c>
      <c r="M58" s="131">
        <v>0.2</v>
      </c>
      <c r="N58" s="131">
        <f t="shared" si="4"/>
        <v>0.10298507462686568</v>
      </c>
      <c r="O58" s="131">
        <f t="shared" si="14"/>
        <v>2.5178932199537076</v>
      </c>
      <c r="P58" s="131">
        <f t="shared" si="13"/>
        <v>0.16551577594943961</v>
      </c>
      <c r="Q58" s="131">
        <f t="shared" si="6"/>
        <v>0.83333333333333337</v>
      </c>
      <c r="R58" s="131">
        <v>46.9</v>
      </c>
      <c r="S58" s="131">
        <v>0.34100000000000003</v>
      </c>
      <c r="T58" s="131">
        <f>(R58/100+S58)/2</f>
        <v>0.40500000000000003</v>
      </c>
      <c r="U58" s="131">
        <v>0.57099999999999995</v>
      </c>
      <c r="V58" s="131">
        <v>0.8</v>
      </c>
      <c r="W58" s="131">
        <f>(V58+U58+J58)/3</f>
        <v>0.57466666666666666</v>
      </c>
      <c r="X58" s="131">
        <f>14/109</f>
        <v>0.12844036697247707</v>
      </c>
      <c r="Y58" s="131">
        <f>X58</f>
        <v>0.12844036697247707</v>
      </c>
      <c r="Z58" s="131">
        <f t="shared" si="15"/>
        <v>15.889724015210431</v>
      </c>
      <c r="AA58" s="15">
        <v>41</v>
      </c>
      <c r="AB58" s="15">
        <v>18.399999999999999</v>
      </c>
      <c r="AC58" s="15">
        <v>1.2</v>
      </c>
      <c r="AD58" s="75"/>
      <c r="AE58" s="15">
        <v>7.22</v>
      </c>
    </row>
    <row r="59" spans="1:31" ht="14">
      <c r="A59" s="164" t="s">
        <v>57</v>
      </c>
      <c r="B59" s="181">
        <v>7</v>
      </c>
      <c r="C59" s="181">
        <v>7</v>
      </c>
      <c r="D59" s="182" t="s">
        <v>4</v>
      </c>
      <c r="E59" s="131">
        <f t="shared" si="0"/>
        <v>3</v>
      </c>
      <c r="F59" s="131"/>
      <c r="G59" s="131">
        <f t="shared" si="1"/>
        <v>-1</v>
      </c>
      <c r="H59" s="131">
        <v>0.75</v>
      </c>
      <c r="I59" s="131">
        <v>0.75</v>
      </c>
      <c r="J59" s="131">
        <f t="shared" si="2"/>
        <v>0.81600000000000006</v>
      </c>
      <c r="K59" s="131">
        <f t="shared" si="3"/>
        <v>1.0880000000000001</v>
      </c>
      <c r="L59" s="131">
        <v>0.05</v>
      </c>
      <c r="M59" s="131">
        <v>0.2</v>
      </c>
      <c r="N59" s="131">
        <f t="shared" si="4"/>
        <v>0.10149253731343284</v>
      </c>
      <c r="O59" s="131">
        <f t="shared" si="14"/>
        <v>1.5877744731834311</v>
      </c>
      <c r="P59" s="131">
        <f t="shared" si="13"/>
        <v>7.8166925164833926E-3</v>
      </c>
      <c r="Q59" s="131">
        <f t="shared" si="6"/>
        <v>0.33333333333333337</v>
      </c>
      <c r="R59" s="131"/>
      <c r="S59" s="184">
        <v>0.9</v>
      </c>
      <c r="T59" s="131">
        <f>S59</f>
        <v>0.9</v>
      </c>
      <c r="U59" s="131">
        <v>5.5E-2</v>
      </c>
      <c r="V59" s="131">
        <v>0.28999999999999998</v>
      </c>
      <c r="W59" s="131">
        <f>(V59+U59+J59)/3</f>
        <v>0.38700000000000001</v>
      </c>
      <c r="X59" s="131" t="s">
        <v>225</v>
      </c>
      <c r="Y59" s="131">
        <v>0.1</v>
      </c>
      <c r="Z59" s="131">
        <f t="shared" si="15"/>
        <v>336.45944169532152</v>
      </c>
      <c r="AA59" s="107">
        <v>33</v>
      </c>
      <c r="AB59" s="107">
        <v>7.5</v>
      </c>
      <c r="AC59" s="107">
        <v>15</v>
      </c>
      <c r="AD59" s="107"/>
      <c r="AE59" s="107">
        <v>5.77</v>
      </c>
    </row>
    <row r="60" spans="1:31" ht="14">
      <c r="A60" s="164" t="s">
        <v>58</v>
      </c>
      <c r="B60" s="181">
        <v>7</v>
      </c>
      <c r="C60" s="181">
        <v>7</v>
      </c>
      <c r="D60" s="182" t="s">
        <v>4</v>
      </c>
      <c r="E60" s="131">
        <f t="shared" si="0"/>
        <v>3</v>
      </c>
      <c r="F60" s="131"/>
      <c r="G60" s="131">
        <f t="shared" si="1"/>
        <v>-1</v>
      </c>
      <c r="H60" s="131">
        <v>0.75</v>
      </c>
      <c r="I60" s="131">
        <v>0.75</v>
      </c>
      <c r="J60" s="131">
        <f t="shared" si="2"/>
        <v>0.76900000000000002</v>
      </c>
      <c r="K60" s="131">
        <f t="shared" si="3"/>
        <v>1.0253333333333334</v>
      </c>
      <c r="L60" s="131">
        <v>0.04</v>
      </c>
      <c r="M60" s="131">
        <v>0.2</v>
      </c>
      <c r="N60" s="131">
        <f t="shared" si="4"/>
        <v>0.10119402985074627</v>
      </c>
      <c r="O60" s="131">
        <f t="shared" si="14"/>
        <v>1.6559272289241282</v>
      </c>
      <c r="P60" s="131">
        <f t="shared" si="13"/>
        <v>9.4418981543735615E-3</v>
      </c>
      <c r="Q60" s="131">
        <f t="shared" si="6"/>
        <v>0.33333333333333337</v>
      </c>
      <c r="R60" s="131"/>
      <c r="S60" s="184">
        <v>0.9</v>
      </c>
      <c r="T60" s="131">
        <f>S60</f>
        <v>0.9</v>
      </c>
      <c r="U60" s="131"/>
      <c r="V60" s="131">
        <v>0.18</v>
      </c>
      <c r="W60" s="131">
        <f>(V60+K60)/2</f>
        <v>0.60266666666666668</v>
      </c>
      <c r="X60" s="131">
        <f>1/96</f>
        <v>1.0416666666666666E-2</v>
      </c>
      <c r="Y60" s="131">
        <f>X60</f>
        <v>1.0416666666666666E-2</v>
      </c>
      <c r="Z60" s="131">
        <f t="shared" si="15"/>
        <v>278.54568615334654</v>
      </c>
      <c r="AA60" s="99">
        <v>20</v>
      </c>
      <c r="AB60" s="99">
        <v>12.3</v>
      </c>
      <c r="AC60" s="99">
        <v>81.8</v>
      </c>
      <c r="AD60" s="99"/>
      <c r="AE60" s="99">
        <v>5.99</v>
      </c>
    </row>
    <row r="61" spans="1:31" ht="14">
      <c r="A61" s="164" t="s">
        <v>59</v>
      </c>
      <c r="B61" s="181">
        <v>1</v>
      </c>
      <c r="C61" s="181">
        <v>1</v>
      </c>
      <c r="D61" s="182" t="s">
        <v>8</v>
      </c>
      <c r="E61" s="131">
        <f t="shared" si="0"/>
        <v>1</v>
      </c>
      <c r="F61" s="131">
        <v>27.7</v>
      </c>
      <c r="G61" s="131">
        <f t="shared" si="1"/>
        <v>1.1292066666666667</v>
      </c>
      <c r="H61" s="131">
        <f>(G61+I61)/2</f>
        <v>0.93960333333333335</v>
      </c>
      <c r="I61" s="131">
        <v>0.75</v>
      </c>
      <c r="J61" s="131">
        <f t="shared" si="2"/>
        <v>0.23199999999999998</v>
      </c>
      <c r="K61" s="131">
        <f t="shared" si="3"/>
        <v>0.30933333333333329</v>
      </c>
      <c r="L61" s="131">
        <v>7.0000000000000007E-2</v>
      </c>
      <c r="M61" s="131">
        <v>0.2</v>
      </c>
      <c r="N61" s="131">
        <f t="shared" si="4"/>
        <v>0.10208955223880598</v>
      </c>
      <c r="O61" s="131">
        <f t="shared" si="14"/>
        <v>1.3022655027712962</v>
      </c>
      <c r="P61" s="131">
        <f t="shared" si="13"/>
        <v>0.68110256640262035</v>
      </c>
      <c r="Q61" s="131">
        <f t="shared" si="6"/>
        <v>1</v>
      </c>
      <c r="R61" s="131">
        <v>31.3</v>
      </c>
      <c r="S61" s="131">
        <f>1-0.812</f>
        <v>0.18799999999999994</v>
      </c>
      <c r="T61" s="131">
        <f>(R61/100+S61)/2</f>
        <v>0.25049999999999994</v>
      </c>
      <c r="U61" s="131">
        <v>5.8000000000000003E-2</v>
      </c>
      <c r="V61" s="131">
        <v>0.21</v>
      </c>
      <c r="W61" s="131">
        <f>(V61+U61+J61)/3</f>
        <v>0.16666666666666666</v>
      </c>
      <c r="X61" s="131">
        <f>-15/98</f>
        <v>-0.15306122448979592</v>
      </c>
      <c r="Y61" s="131">
        <f>X61</f>
        <v>-0.15306122448979592</v>
      </c>
      <c r="Z61" s="131">
        <f t="shared" si="15"/>
        <v>3.8613861255741142</v>
      </c>
      <c r="AA61" s="15">
        <v>36.5</v>
      </c>
      <c r="AB61" s="15">
        <v>7</v>
      </c>
      <c r="AC61" s="15">
        <v>6.1829999999999998</v>
      </c>
      <c r="AD61" s="75"/>
      <c r="AE61" s="15">
        <v>6.47</v>
      </c>
    </row>
    <row r="62" spans="1:31" ht="14">
      <c r="A62" s="164" t="s">
        <v>60</v>
      </c>
      <c r="B62" s="181">
        <v>6</v>
      </c>
      <c r="C62" s="181">
        <v>6</v>
      </c>
      <c r="D62" s="182" t="s">
        <v>4</v>
      </c>
      <c r="E62" s="131">
        <f t="shared" si="0"/>
        <v>2.666666666666667</v>
      </c>
      <c r="F62" s="131">
        <v>25.8</v>
      </c>
      <c r="G62" s="131">
        <f t="shared" si="1"/>
        <v>0.98316000000000026</v>
      </c>
      <c r="H62" s="131">
        <f>(G62+I62)/2</f>
        <v>0.86658000000000013</v>
      </c>
      <c r="I62" s="131">
        <v>0.75</v>
      </c>
      <c r="J62" s="131">
        <f t="shared" si="2"/>
        <v>0.63200000000000001</v>
      </c>
      <c r="K62" s="131">
        <f t="shared" si="3"/>
        <v>0.84266666666666667</v>
      </c>
      <c r="L62" s="131">
        <v>0.08</v>
      </c>
      <c r="M62" s="131">
        <v>0.2</v>
      </c>
      <c r="N62" s="131">
        <f t="shared" si="4"/>
        <v>0.10238805970149255</v>
      </c>
      <c r="O62" s="131">
        <f t="shared" si="14"/>
        <v>2.0014785428567281</v>
      </c>
      <c r="P62" s="131">
        <f t="shared" si="13"/>
        <v>2.0983012634235163E-2</v>
      </c>
      <c r="Q62" s="131">
        <f t="shared" si="6"/>
        <v>0.44444444444444431</v>
      </c>
      <c r="R62" s="131">
        <v>30</v>
      </c>
      <c r="S62" s="131">
        <v>0.67200000000000004</v>
      </c>
      <c r="T62" s="131">
        <f>(R62/100+S62)/2</f>
        <v>0.48599999999999999</v>
      </c>
      <c r="U62" s="131">
        <v>0.42299999999999999</v>
      </c>
      <c r="V62" s="131">
        <v>0.25</v>
      </c>
      <c r="W62" s="131">
        <f>(V62+U62+J62)/3</f>
        <v>0.43500000000000005</v>
      </c>
      <c r="X62" s="131">
        <f>105/164</f>
        <v>0.6402439024390244</v>
      </c>
      <c r="Y62" s="131">
        <f>X62</f>
        <v>0.6402439024390244</v>
      </c>
      <c r="Z62" s="131">
        <f t="shared" si="15"/>
        <v>125.3394851275542</v>
      </c>
      <c r="AA62" s="15" t="s">
        <v>223</v>
      </c>
      <c r="AB62" s="15">
        <v>22.3</v>
      </c>
      <c r="AC62" s="15">
        <v>0.72</v>
      </c>
      <c r="AD62" s="75"/>
      <c r="AE62" s="15">
        <v>1.84</v>
      </c>
    </row>
    <row r="63" spans="1:31" ht="14">
      <c r="A63" s="164" t="s">
        <v>61</v>
      </c>
      <c r="B63" s="181">
        <v>6</v>
      </c>
      <c r="C63" s="181">
        <v>4</v>
      </c>
      <c r="D63" s="182" t="s">
        <v>3</v>
      </c>
      <c r="E63" s="131">
        <f t="shared" si="0"/>
        <v>2.333333333333333</v>
      </c>
      <c r="F63" s="131"/>
      <c r="G63" s="131">
        <f t="shared" si="1"/>
        <v>-1</v>
      </c>
      <c r="H63" s="131">
        <v>0.75</v>
      </c>
      <c r="I63" s="131">
        <v>0.75</v>
      </c>
      <c r="J63" s="131">
        <f t="shared" si="2"/>
        <v>0.63100000000000001</v>
      </c>
      <c r="K63" s="131">
        <f t="shared" si="3"/>
        <v>0.84133333333333338</v>
      </c>
      <c r="L63" s="131">
        <v>0.06</v>
      </c>
      <c r="M63" s="131">
        <v>0.2</v>
      </c>
      <c r="N63" s="131">
        <f t="shared" si="4"/>
        <v>0.1017910447761194</v>
      </c>
      <c r="O63" s="131">
        <f t="shared" si="14"/>
        <v>2.0324851563396957</v>
      </c>
      <c r="P63" s="131">
        <f t="shared" si="13"/>
        <v>5.0608299078296136E-2</v>
      </c>
      <c r="Q63" s="131">
        <f t="shared" si="6"/>
        <v>0.55555555555555558</v>
      </c>
      <c r="R63" s="131"/>
      <c r="S63" s="131">
        <v>0.33100000000000002</v>
      </c>
      <c r="T63" s="131">
        <f>S63</f>
        <v>0.33100000000000002</v>
      </c>
      <c r="U63" s="131"/>
      <c r="V63" s="131">
        <v>0.85</v>
      </c>
      <c r="W63" s="131">
        <f>(V63+K63)/2</f>
        <v>0.84566666666666668</v>
      </c>
      <c r="X63" s="131" t="s">
        <v>225</v>
      </c>
      <c r="Y63" s="131">
        <v>0.1</v>
      </c>
      <c r="Z63" s="131">
        <f t="shared" si="15"/>
        <v>51.967761175516394</v>
      </c>
      <c r="AA63" s="15">
        <v>50</v>
      </c>
      <c r="AB63" s="15"/>
      <c r="AC63" s="15">
        <v>5.415</v>
      </c>
      <c r="AD63" s="75"/>
      <c r="AE63" s="15">
        <v>2.31</v>
      </c>
    </row>
    <row r="64" spans="1:31" ht="14">
      <c r="A64" s="164" t="s">
        <v>62</v>
      </c>
      <c r="B64" s="181">
        <v>1</v>
      </c>
      <c r="C64" s="181">
        <v>1</v>
      </c>
      <c r="D64" s="182" t="s">
        <v>8</v>
      </c>
      <c r="E64" s="131">
        <f t="shared" si="0"/>
        <v>1</v>
      </c>
      <c r="F64" s="131">
        <v>24.7</v>
      </c>
      <c r="G64" s="131">
        <f t="shared" si="1"/>
        <v>0.89860666666666655</v>
      </c>
      <c r="H64" s="131">
        <f t="shared" ref="H64:H71" si="18">(G64+I64)/2</f>
        <v>0.78263666666666665</v>
      </c>
      <c r="I64" s="131">
        <f>2/3</f>
        <v>0.66666666666666663</v>
      </c>
      <c r="J64" s="131">
        <f t="shared" si="2"/>
        <v>8.1000000000000072E-2</v>
      </c>
      <c r="K64" s="131">
        <f t="shared" si="3"/>
        <v>0.1080000000000001</v>
      </c>
      <c r="L64" s="131">
        <v>0.53</v>
      </c>
      <c r="M64" s="131">
        <v>0.4</v>
      </c>
      <c r="N64" s="131">
        <f t="shared" si="4"/>
        <v>0.21582089552238806</v>
      </c>
      <c r="O64" s="131">
        <f t="shared" si="14"/>
        <v>1.8461807535486474</v>
      </c>
      <c r="P64" s="131">
        <f t="shared" si="13"/>
        <v>0.86981588514520858</v>
      </c>
      <c r="Q64" s="131">
        <f t="shared" si="6"/>
        <v>1</v>
      </c>
      <c r="R64" s="131">
        <v>26.8</v>
      </c>
      <c r="S64" s="131">
        <f>1-0.871</f>
        <v>0.129</v>
      </c>
      <c r="T64" s="131">
        <f>(R64/100+S64)/2</f>
        <v>0.19850000000000001</v>
      </c>
      <c r="U64" s="131">
        <v>0.49</v>
      </c>
      <c r="V64" s="131">
        <v>0.73</v>
      </c>
      <c r="W64" s="131">
        <f>(V64+U64+J64)/3</f>
        <v>0.4336666666666667</v>
      </c>
      <c r="X64" s="131">
        <f>-2/105</f>
        <v>-1.9047619047619049E-2</v>
      </c>
      <c r="Y64" s="131">
        <f>X64</f>
        <v>-1.9047619047619049E-2</v>
      </c>
      <c r="Z64" s="131">
        <f t="shared" si="15"/>
        <v>3.0236283849437209</v>
      </c>
      <c r="AA64" s="70">
        <v>17.5</v>
      </c>
      <c r="AB64" s="70">
        <v>12.1</v>
      </c>
      <c r="AC64" s="70">
        <v>1.3160000000000001</v>
      </c>
      <c r="AD64" s="75"/>
      <c r="AE64" s="70">
        <v>7.68</v>
      </c>
    </row>
    <row r="65" spans="1:31" ht="14">
      <c r="A65" s="164" t="s">
        <v>63</v>
      </c>
      <c r="B65" s="181">
        <v>1</v>
      </c>
      <c r="C65" s="181">
        <v>1</v>
      </c>
      <c r="D65" s="182" t="s">
        <v>8</v>
      </c>
      <c r="E65" s="131">
        <f t="shared" si="0"/>
        <v>1</v>
      </c>
      <c r="F65" s="131">
        <v>24.3</v>
      </c>
      <c r="G65" s="131">
        <f t="shared" si="1"/>
        <v>0.86786000000000008</v>
      </c>
      <c r="H65" s="131">
        <f t="shared" si="18"/>
        <v>0.93393000000000004</v>
      </c>
      <c r="I65" s="131">
        <v>1</v>
      </c>
      <c r="J65" s="131">
        <f t="shared" si="2"/>
        <v>0.22300000000000009</v>
      </c>
      <c r="K65" s="131">
        <f t="shared" si="3"/>
        <v>0.29733333333333345</v>
      </c>
      <c r="L65" s="131">
        <v>4.29</v>
      </c>
      <c r="M65" s="131">
        <v>0.8</v>
      </c>
      <c r="N65" s="131">
        <f t="shared" si="4"/>
        <v>0.52805970149253734</v>
      </c>
      <c r="O65" s="131">
        <f t="shared" si="14"/>
        <v>2.5136915938977329</v>
      </c>
      <c r="P65" s="131">
        <f t="shared" si="13"/>
        <v>0.45278440740179343</v>
      </c>
      <c r="Q65" s="131">
        <f t="shared" si="6"/>
        <v>1</v>
      </c>
      <c r="R65" s="131">
        <v>32.700000000000003</v>
      </c>
      <c r="S65" s="131">
        <f>1-0.872</f>
        <v>0.128</v>
      </c>
      <c r="T65" s="131">
        <f>(R65/100+S65)/2</f>
        <v>0.22750000000000001</v>
      </c>
      <c r="U65" s="131">
        <v>0.85499999999999998</v>
      </c>
      <c r="V65" s="131">
        <v>0.83</v>
      </c>
      <c r="W65" s="131">
        <f>(V65+U65+J65)/3</f>
        <v>0.63600000000000001</v>
      </c>
      <c r="X65" s="131">
        <f>6/103</f>
        <v>5.8252427184466021E-2</v>
      </c>
      <c r="Y65" s="131">
        <f>X65</f>
        <v>5.8252427184466021E-2</v>
      </c>
      <c r="Z65" s="131">
        <f t="shared" si="15"/>
        <v>5.8085039082765526</v>
      </c>
      <c r="AA65" s="79">
        <v>29.2</v>
      </c>
      <c r="AB65" s="79"/>
      <c r="AC65" s="79">
        <v>84</v>
      </c>
      <c r="AD65" s="75"/>
      <c r="AE65" s="79">
        <v>3.68</v>
      </c>
    </row>
    <row r="66" spans="1:31" ht="14">
      <c r="A66" s="164" t="s">
        <v>64</v>
      </c>
      <c r="B66" s="181">
        <v>6</v>
      </c>
      <c r="C66" s="181">
        <v>5</v>
      </c>
      <c r="D66" s="182" t="s">
        <v>4</v>
      </c>
      <c r="E66" s="131">
        <f t="shared" si="0"/>
        <v>2.5</v>
      </c>
      <c r="F66" s="131">
        <v>32.700000000000003</v>
      </c>
      <c r="G66" s="131">
        <f t="shared" si="1"/>
        <v>1.5135400000000003</v>
      </c>
      <c r="H66" s="131">
        <f t="shared" si="18"/>
        <v>1.1317700000000002</v>
      </c>
      <c r="I66" s="131">
        <v>0.75</v>
      </c>
      <c r="J66" s="131">
        <f t="shared" si="2"/>
        <v>0.67100000000000004</v>
      </c>
      <c r="K66" s="131">
        <f t="shared" si="3"/>
        <v>0.89466666666666672</v>
      </c>
      <c r="L66" s="131">
        <v>0.09</v>
      </c>
      <c r="M66" s="131">
        <v>0.2</v>
      </c>
      <c r="N66" s="131">
        <f t="shared" si="4"/>
        <v>0.10268656716417911</v>
      </c>
      <c r="O66" s="131">
        <f t="shared" si="14"/>
        <v>1.7870309499969752</v>
      </c>
      <c r="P66" s="131">
        <f t="shared" si="13"/>
        <v>1.2831858713663742E-2</v>
      </c>
      <c r="Q66" s="131">
        <f t="shared" si="6"/>
        <v>0.5</v>
      </c>
      <c r="R66" s="131"/>
      <c r="S66" s="131">
        <v>0.35199999999999998</v>
      </c>
      <c r="T66" s="131">
        <f>S66</f>
        <v>0.35199999999999998</v>
      </c>
      <c r="U66" s="131">
        <v>0.183</v>
      </c>
      <c r="V66" s="131">
        <v>0.44</v>
      </c>
      <c r="W66" s="131">
        <f>(V66+U66+J66)/3</f>
        <v>0.43133333333333335</v>
      </c>
      <c r="X66" s="131">
        <f>51/135</f>
        <v>0.37777777777777777</v>
      </c>
      <c r="Y66" s="131">
        <f>X66</f>
        <v>0.37777777777777777</v>
      </c>
      <c r="Z66" s="131">
        <f t="shared" si="15"/>
        <v>204.95861579269871</v>
      </c>
      <c r="AA66" s="15">
        <v>25.5</v>
      </c>
      <c r="AB66" s="15">
        <v>7.6</v>
      </c>
      <c r="AC66" s="15">
        <v>0.86799999999999999</v>
      </c>
      <c r="AD66" s="75"/>
      <c r="AE66" s="15">
        <v>3.69</v>
      </c>
    </row>
    <row r="67" spans="1:31" ht="14">
      <c r="A67" s="164" t="s">
        <v>65</v>
      </c>
      <c r="B67" s="181">
        <v>5</v>
      </c>
      <c r="C67" s="181">
        <v>5</v>
      </c>
      <c r="D67" s="182" t="s">
        <v>3</v>
      </c>
      <c r="E67" s="131">
        <f t="shared" si="0"/>
        <v>2.333333333333333</v>
      </c>
      <c r="F67" s="131">
        <v>36.9</v>
      </c>
      <c r="G67" s="131">
        <f t="shared" si="1"/>
        <v>1.8363799999999997</v>
      </c>
      <c r="H67" s="131">
        <f t="shared" si="18"/>
        <v>1.2931899999999998</v>
      </c>
      <c r="I67" s="131">
        <v>0.75</v>
      </c>
      <c r="J67" s="131">
        <f t="shared" si="2"/>
        <v>0.66200000000000003</v>
      </c>
      <c r="K67" s="131">
        <f t="shared" si="3"/>
        <v>0.88266666666666671</v>
      </c>
      <c r="L67" s="131">
        <v>0.04</v>
      </c>
      <c r="M67" s="131">
        <v>0.2</v>
      </c>
      <c r="N67" s="131">
        <f t="shared" si="4"/>
        <v>0.10119402985074627</v>
      </c>
      <c r="O67" s="131">
        <f t="shared" si="14"/>
        <v>1.8530850630809861</v>
      </c>
      <c r="P67" s="131">
        <f t="shared" si="13"/>
        <v>1.2956801120013602E-2</v>
      </c>
      <c r="Q67" s="131">
        <f t="shared" si="6"/>
        <v>0.55555555555555558</v>
      </c>
      <c r="R67" s="131">
        <v>50.2</v>
      </c>
      <c r="S67" s="131">
        <v>0.61</v>
      </c>
      <c r="T67" s="131">
        <f>(R67/100+S67)/2</f>
        <v>0.55600000000000005</v>
      </c>
      <c r="U67" s="131"/>
      <c r="V67" s="131">
        <v>0.45</v>
      </c>
      <c r="W67" s="131">
        <f>(V67+K67)/2</f>
        <v>0.66633333333333333</v>
      </c>
      <c r="X67" s="131">
        <f>-14/125</f>
        <v>-0.112</v>
      </c>
      <c r="Y67" s="131">
        <f>X67</f>
        <v>-0.112</v>
      </c>
      <c r="Z67" s="131">
        <f t="shared" si="15"/>
        <v>202.98220028534627</v>
      </c>
      <c r="AA67" s="70" t="s">
        <v>223</v>
      </c>
      <c r="AB67" s="70">
        <v>7.8</v>
      </c>
      <c r="AC67" s="70">
        <v>5.4</v>
      </c>
      <c r="AD67" s="70"/>
      <c r="AE67" s="70">
        <v>9.19</v>
      </c>
    </row>
    <row r="68" spans="1:31" ht="14">
      <c r="A68" s="164" t="s">
        <v>66</v>
      </c>
      <c r="B68" s="181">
        <v>4</v>
      </c>
      <c r="C68" s="181">
        <v>3</v>
      </c>
      <c r="D68" s="182" t="s">
        <v>3</v>
      </c>
      <c r="E68" s="131">
        <f t="shared" ref="E68:E131" si="19">1+(-2+B68+C68)/6</f>
        <v>1.8333333333333335</v>
      </c>
      <c r="F68" s="131">
        <v>31.3</v>
      </c>
      <c r="G68" s="131">
        <f t="shared" ref="G68:G80" si="20">1.153*F68/15-1</f>
        <v>1.4059266666666668</v>
      </c>
      <c r="H68" s="131">
        <f t="shared" si="18"/>
        <v>1.0779633333333334</v>
      </c>
      <c r="I68" s="131">
        <v>0.75</v>
      </c>
      <c r="J68" s="131">
        <f t="shared" ref="J68:J131" si="21">1-AE71/10</f>
        <v>0.54100000000000004</v>
      </c>
      <c r="K68" s="131">
        <f t="shared" ref="K68:K131" si="22">4*J68/3</f>
        <v>0.72133333333333338</v>
      </c>
      <c r="L68" s="131">
        <v>0.09</v>
      </c>
      <c r="M68" s="131">
        <v>0.2</v>
      </c>
      <c r="N68" s="131">
        <f t="shared" ref="N68:N131" si="23">(L68/16.75+M68)/2</f>
        <v>0.10268656716417911</v>
      </c>
      <c r="O68" s="131">
        <f t="shared" si="14"/>
        <v>2.0231347159795336</v>
      </c>
      <c r="P68" s="131">
        <f t="shared" ref="P68:P99" si="24">2.63/Z68</f>
        <v>8.0460780194387058E-2</v>
      </c>
      <c r="Q68" s="131">
        <f t="shared" ref="Q68:Q131" si="25">1-(E68-1)/3</f>
        <v>0.7222222222222221</v>
      </c>
      <c r="R68" s="131">
        <v>40.799999999999997</v>
      </c>
      <c r="S68" s="131">
        <f>1-0.698</f>
        <v>0.30200000000000005</v>
      </c>
      <c r="T68" s="131">
        <f>(R68/100+S68)/2</f>
        <v>0.35499999999999998</v>
      </c>
      <c r="U68" s="131"/>
      <c r="V68" s="131">
        <v>0.32</v>
      </c>
      <c r="W68" s="131">
        <f>(V68+K68)/2</f>
        <v>0.52066666666666672</v>
      </c>
      <c r="X68" s="131" t="s">
        <v>225</v>
      </c>
      <c r="Y68" s="131">
        <v>0.1</v>
      </c>
      <c r="Z68" s="131">
        <f t="shared" si="15"/>
        <v>32.686732512984861</v>
      </c>
      <c r="AA68" s="105">
        <v>6.2</v>
      </c>
      <c r="AB68" s="105">
        <v>9.1</v>
      </c>
      <c r="AC68" s="105">
        <v>65.3</v>
      </c>
      <c r="AD68" s="105"/>
      <c r="AE68" s="105">
        <v>7.77</v>
      </c>
    </row>
    <row r="69" spans="1:31" ht="14">
      <c r="A69" s="164" t="s">
        <v>67</v>
      </c>
      <c r="B69" s="181">
        <v>1</v>
      </c>
      <c r="C69" s="181">
        <v>1</v>
      </c>
      <c r="D69" s="182" t="s">
        <v>8</v>
      </c>
      <c r="E69" s="131">
        <f t="shared" si="19"/>
        <v>1</v>
      </c>
      <c r="F69" s="131">
        <v>24</v>
      </c>
      <c r="G69" s="131">
        <f t="shared" si="20"/>
        <v>0.8448</v>
      </c>
      <c r="H69" s="131">
        <f t="shared" si="18"/>
        <v>0.75740000000000007</v>
      </c>
      <c r="I69" s="131">
        <v>0.67</v>
      </c>
      <c r="J69" s="131">
        <f t="shared" si="21"/>
        <v>0.16199999999999992</v>
      </c>
      <c r="K69" s="131">
        <f t="shared" si="22"/>
        <v>0.21599999999999989</v>
      </c>
      <c r="L69" s="131">
        <v>5.81</v>
      </c>
      <c r="M69" s="131">
        <v>0.8</v>
      </c>
      <c r="N69" s="131">
        <f t="shared" si="23"/>
        <v>0.57343283582089555</v>
      </c>
      <c r="O69" s="131">
        <f t="shared" ref="O69:O100" si="26">EXP(Q69*(Y69+W69+T69))</f>
        <v>2.2029599475599579</v>
      </c>
      <c r="P69" s="131">
        <f t="shared" si="24"/>
        <v>0.55998292340853451</v>
      </c>
      <c r="Q69" s="131">
        <f t="shared" si="25"/>
        <v>1</v>
      </c>
      <c r="R69" s="131">
        <v>27</v>
      </c>
      <c r="S69" s="131">
        <f>1-0.885</f>
        <v>0.11499999999999999</v>
      </c>
      <c r="T69" s="131">
        <f>(R69/100+S69)/2</f>
        <v>0.1925</v>
      </c>
      <c r="U69" s="131">
        <v>0.81499999999999995</v>
      </c>
      <c r="V69" s="131">
        <v>0.73</v>
      </c>
      <c r="W69" s="131">
        <f>(V69+U69+J69)/3</f>
        <v>0.56899999999999995</v>
      </c>
      <c r="X69" s="131">
        <f>3/106</f>
        <v>2.8301886792452831E-2</v>
      </c>
      <c r="Y69" s="131">
        <f>X69</f>
        <v>2.8301886792452831E-2</v>
      </c>
      <c r="Z69" s="131">
        <f t="shared" ref="Z69:Z100" si="27">EXP(E69*(H69+K69+N69))</f>
        <v>4.6965717882816369</v>
      </c>
      <c r="AA69" s="25" t="s">
        <v>223</v>
      </c>
      <c r="AB69" s="25">
        <v>21</v>
      </c>
      <c r="AC69" s="25">
        <v>1.53</v>
      </c>
      <c r="AD69" s="75"/>
      <c r="AE69" s="25">
        <v>3.29</v>
      </c>
    </row>
    <row r="70" spans="1:31" ht="14">
      <c r="A70" s="164" t="s">
        <v>68</v>
      </c>
      <c r="B70" s="181">
        <v>1</v>
      </c>
      <c r="C70" s="181">
        <v>2</v>
      </c>
      <c r="D70" s="182" t="s">
        <v>8</v>
      </c>
      <c r="E70" s="131">
        <f t="shared" si="19"/>
        <v>1.1666666666666667</v>
      </c>
      <c r="F70" s="131">
        <v>32.799999999999997</v>
      </c>
      <c r="G70" s="131">
        <f t="shared" si="20"/>
        <v>1.5212266666666663</v>
      </c>
      <c r="H70" s="131">
        <f t="shared" si="18"/>
        <v>1.1356133333333331</v>
      </c>
      <c r="I70" s="131">
        <v>0.75</v>
      </c>
      <c r="J70" s="131">
        <f t="shared" si="21"/>
        <v>0.39800000000000002</v>
      </c>
      <c r="K70" s="131">
        <f t="shared" si="22"/>
        <v>0.53066666666666673</v>
      </c>
      <c r="L70" s="131">
        <v>0.14000000000000001</v>
      </c>
      <c r="M70" s="131">
        <v>0.2</v>
      </c>
      <c r="N70" s="131">
        <f t="shared" si="23"/>
        <v>0.10417910447761194</v>
      </c>
      <c r="O70" s="131">
        <f t="shared" si="26"/>
        <v>1.9525552295030149</v>
      </c>
      <c r="P70" s="131">
        <f t="shared" si="24"/>
        <v>0.33335350493272742</v>
      </c>
      <c r="Q70" s="131">
        <f t="shared" si="25"/>
        <v>0.94444444444444442</v>
      </c>
      <c r="R70" s="131">
        <v>39.4</v>
      </c>
      <c r="S70" s="131">
        <v>0.53300000000000003</v>
      </c>
      <c r="T70" s="131">
        <f>(R70/100+S70)/2</f>
        <v>0.46350000000000002</v>
      </c>
      <c r="U70" s="131">
        <v>0.38700000000000001</v>
      </c>
      <c r="V70" s="131">
        <v>-0.35</v>
      </c>
      <c r="W70" s="131">
        <f>(V70+U70+J70)/3</f>
        <v>0.14500000000000002</v>
      </c>
      <c r="X70" s="131" t="s">
        <v>225</v>
      </c>
      <c r="Y70" s="131">
        <v>0.1</v>
      </c>
      <c r="Z70" s="131">
        <f t="shared" si="27"/>
        <v>7.8895225671340956</v>
      </c>
      <c r="AA70" s="15" t="s">
        <v>223</v>
      </c>
      <c r="AB70" s="15"/>
      <c r="AC70" s="15">
        <v>1.77</v>
      </c>
      <c r="AD70" s="75"/>
      <c r="AE70" s="15">
        <v>3.38</v>
      </c>
    </row>
    <row r="71" spans="1:31" ht="14">
      <c r="A71" s="164" t="s">
        <v>69</v>
      </c>
      <c r="B71" s="181">
        <v>1</v>
      </c>
      <c r="C71" s="181">
        <v>2</v>
      </c>
      <c r="D71" s="182" t="s">
        <v>8</v>
      </c>
      <c r="E71" s="131">
        <f t="shared" si="19"/>
        <v>1.1666666666666667</v>
      </c>
      <c r="F71" s="131">
        <v>26</v>
      </c>
      <c r="G71" s="131">
        <f t="shared" si="20"/>
        <v>0.99853333333333349</v>
      </c>
      <c r="H71" s="131">
        <f t="shared" si="18"/>
        <v>0.99926666666666675</v>
      </c>
      <c r="I71" s="131">
        <v>1</v>
      </c>
      <c r="J71" s="131">
        <f t="shared" si="21"/>
        <v>0.20799999999999996</v>
      </c>
      <c r="K71" s="131">
        <f t="shared" si="22"/>
        <v>0.27733333333333327</v>
      </c>
      <c r="L71" s="131">
        <v>0.87</v>
      </c>
      <c r="M71" s="131">
        <v>0.2</v>
      </c>
      <c r="N71" s="131">
        <f t="shared" si="23"/>
        <v>0.12597014925373134</v>
      </c>
      <c r="O71" s="131">
        <f t="shared" si="26"/>
        <v>4.0387095138288451</v>
      </c>
      <c r="P71" s="131">
        <f t="shared" si="24"/>
        <v>0.51204232332936173</v>
      </c>
      <c r="Q71" s="131">
        <f t="shared" si="25"/>
        <v>0.94444444444444442</v>
      </c>
      <c r="R71" s="131">
        <v>33</v>
      </c>
      <c r="S71" s="131">
        <f>1-0.855</f>
        <v>0.14500000000000002</v>
      </c>
      <c r="T71" s="131">
        <f>(R71/100+S71)/2</f>
        <v>0.23750000000000002</v>
      </c>
      <c r="U71" s="131">
        <v>1.6539999999999999</v>
      </c>
      <c r="V71" s="131">
        <v>1.6</v>
      </c>
      <c r="W71" s="131">
        <f>(V71+U71+J71)/3</f>
        <v>1.1539999999999999</v>
      </c>
      <c r="X71" s="131">
        <f>9/104</f>
        <v>8.6538461538461536E-2</v>
      </c>
      <c r="Y71" s="131">
        <f>X71</f>
        <v>8.6538461538461536E-2</v>
      </c>
      <c r="Z71" s="131">
        <f t="shared" si="27"/>
        <v>5.1362941697854563</v>
      </c>
      <c r="AA71" s="15">
        <v>9.6999999999999993</v>
      </c>
      <c r="AB71" s="15">
        <v>16.3</v>
      </c>
      <c r="AC71" s="15">
        <v>4.47</v>
      </c>
      <c r="AD71" s="75"/>
      <c r="AE71" s="15">
        <v>4.59</v>
      </c>
    </row>
    <row r="72" spans="1:31" ht="14">
      <c r="A72" s="164" t="s">
        <v>70</v>
      </c>
      <c r="B72" s="181">
        <v>1</v>
      </c>
      <c r="C72" s="181">
        <v>2</v>
      </c>
      <c r="D72" s="182" t="s">
        <v>8</v>
      </c>
      <c r="E72" s="131">
        <f t="shared" si="19"/>
        <v>1.1666666666666667</v>
      </c>
      <c r="F72" s="131"/>
      <c r="G72" s="131">
        <f t="shared" si="20"/>
        <v>-1</v>
      </c>
      <c r="H72" s="131">
        <v>0.75</v>
      </c>
      <c r="I72" s="131">
        <v>0.75</v>
      </c>
      <c r="J72" s="131">
        <f t="shared" si="21"/>
        <v>0.39</v>
      </c>
      <c r="K72" s="131">
        <f t="shared" si="22"/>
        <v>0.52</v>
      </c>
      <c r="L72" s="131">
        <v>0.03</v>
      </c>
      <c r="M72" s="131">
        <v>0.2</v>
      </c>
      <c r="N72" s="131">
        <f t="shared" si="23"/>
        <v>0.10089552238805971</v>
      </c>
      <c r="O72" s="131">
        <f t="shared" si="26"/>
        <v>2.6703838395806434</v>
      </c>
      <c r="P72" s="131">
        <f t="shared" si="24"/>
        <v>0.5313181613462904</v>
      </c>
      <c r="Q72" s="131">
        <f t="shared" si="25"/>
        <v>0.94444444444444442</v>
      </c>
      <c r="R72" s="131"/>
      <c r="S72" s="184">
        <v>0.18</v>
      </c>
      <c r="T72" s="131">
        <f>S72</f>
        <v>0.18</v>
      </c>
      <c r="U72" s="131"/>
      <c r="V72" s="131">
        <v>1</v>
      </c>
      <c r="W72" s="131">
        <f>(V72+K72)/2</f>
        <v>0.76</v>
      </c>
      <c r="X72" s="131" t="s">
        <v>225</v>
      </c>
      <c r="Y72" s="131">
        <v>0.1</v>
      </c>
      <c r="Z72" s="131">
        <f t="shared" si="27"/>
        <v>4.9499531379389055</v>
      </c>
      <c r="AA72" s="105">
        <v>15.5</v>
      </c>
      <c r="AB72" s="105">
        <v>5.7</v>
      </c>
      <c r="AC72" s="105">
        <v>81.83</v>
      </c>
      <c r="AD72" s="105"/>
      <c r="AE72" s="105">
        <v>8.3800000000000008</v>
      </c>
    </row>
    <row r="73" spans="1:31" ht="14">
      <c r="A73" s="164" t="s">
        <v>71</v>
      </c>
      <c r="B73" s="181">
        <v>4</v>
      </c>
      <c r="C73" s="181">
        <v>4</v>
      </c>
      <c r="D73" s="182" t="s">
        <v>3</v>
      </c>
      <c r="E73" s="131">
        <f t="shared" si="19"/>
        <v>2</v>
      </c>
      <c r="F73" s="131">
        <v>42.4</v>
      </c>
      <c r="G73" s="131">
        <f t="shared" si="20"/>
        <v>2.2591466666666666</v>
      </c>
      <c r="H73" s="131">
        <f t="shared" ref="H73:H79" si="28">(G73+I73)/2</f>
        <v>1.5045733333333333</v>
      </c>
      <c r="I73" s="131">
        <v>0.75</v>
      </c>
      <c r="J73" s="131">
        <f t="shared" si="21"/>
        <v>0.39500000000000002</v>
      </c>
      <c r="K73" s="131">
        <f t="shared" si="22"/>
        <v>0.52666666666666673</v>
      </c>
      <c r="L73" s="131">
        <v>0.11</v>
      </c>
      <c r="M73" s="131">
        <v>0.2</v>
      </c>
      <c r="N73" s="131">
        <f t="shared" si="23"/>
        <v>0.10328358208955224</v>
      </c>
      <c r="O73" s="131">
        <f t="shared" si="26"/>
        <v>1.8201922186912765</v>
      </c>
      <c r="P73" s="131">
        <f t="shared" si="24"/>
        <v>3.6807144155470151E-2</v>
      </c>
      <c r="Q73" s="131">
        <f t="shared" si="25"/>
        <v>0.66666666666666674</v>
      </c>
      <c r="R73" s="131">
        <v>55.1</v>
      </c>
      <c r="S73" s="131">
        <v>0.44</v>
      </c>
      <c r="T73" s="131">
        <f>(R73/100+S73)/2</f>
        <v>0.49550000000000005</v>
      </c>
      <c r="U73" s="131">
        <v>0.245</v>
      </c>
      <c r="V73" s="131">
        <v>0.72</v>
      </c>
      <c r="W73" s="131">
        <f>(V73+U73+J73)/3</f>
        <v>0.45333333333333331</v>
      </c>
      <c r="X73" s="131">
        <f>-6/119</f>
        <v>-5.0420168067226892E-2</v>
      </c>
      <c r="Y73" s="131">
        <f>X73</f>
        <v>-5.0420168067226892E-2</v>
      </c>
      <c r="Z73" s="131">
        <f t="shared" si="27"/>
        <v>71.453519699629794</v>
      </c>
      <c r="AA73" s="74">
        <v>28.5</v>
      </c>
      <c r="AB73" s="74">
        <v>11</v>
      </c>
      <c r="AC73" s="74">
        <v>24.23</v>
      </c>
      <c r="AD73" s="74"/>
      <c r="AE73" s="74">
        <v>6.02</v>
      </c>
    </row>
    <row r="74" spans="1:31" ht="14">
      <c r="A74" s="164" t="s">
        <v>72</v>
      </c>
      <c r="B74" s="181">
        <v>5</v>
      </c>
      <c r="C74" s="181">
        <v>5</v>
      </c>
      <c r="D74" s="182" t="s">
        <v>3</v>
      </c>
      <c r="E74" s="131">
        <f t="shared" si="19"/>
        <v>2.333333333333333</v>
      </c>
      <c r="F74" s="131">
        <v>30.3</v>
      </c>
      <c r="G74" s="131">
        <f t="shared" si="20"/>
        <v>1.3290600000000001</v>
      </c>
      <c r="H74" s="131">
        <f t="shared" si="28"/>
        <v>1.0395300000000001</v>
      </c>
      <c r="I74" s="131">
        <v>0.75</v>
      </c>
      <c r="J74" s="131">
        <f t="shared" si="21"/>
        <v>0.72099999999999997</v>
      </c>
      <c r="K74" s="131">
        <f t="shared" si="22"/>
        <v>0.96133333333333326</v>
      </c>
      <c r="L74" s="131">
        <v>7.0000000000000007E-2</v>
      </c>
      <c r="M74" s="131">
        <v>0.2</v>
      </c>
      <c r="N74" s="131">
        <f t="shared" si="23"/>
        <v>0.10208955223880598</v>
      </c>
      <c r="O74" s="131">
        <f t="shared" si="26"/>
        <v>2.206806717797209</v>
      </c>
      <c r="P74" s="131">
        <f t="shared" si="24"/>
        <v>1.9450038681660932E-2</v>
      </c>
      <c r="Q74" s="131">
        <f t="shared" si="25"/>
        <v>0.55555555555555558</v>
      </c>
      <c r="R74" s="131">
        <v>39.4</v>
      </c>
      <c r="S74" s="131">
        <v>0.66</v>
      </c>
      <c r="T74" s="131">
        <f>(R74/100+S74)/2</f>
        <v>0.52700000000000002</v>
      </c>
      <c r="U74" s="131"/>
      <c r="V74" s="131">
        <v>0.6</v>
      </c>
      <c r="W74" s="131">
        <f>(V74+K74)/2</f>
        <v>0.78066666666666662</v>
      </c>
      <c r="X74" s="131">
        <f>13/111</f>
        <v>0.11711711711711711</v>
      </c>
      <c r="Y74" s="131">
        <f>X74</f>
        <v>0.11711711711711711</v>
      </c>
      <c r="Z74" s="131">
        <f t="shared" si="27"/>
        <v>135.218240078863</v>
      </c>
      <c r="AA74" s="39">
        <v>20</v>
      </c>
      <c r="AB74" s="39">
        <v>17</v>
      </c>
      <c r="AC74" s="39">
        <v>10.787000000000001</v>
      </c>
      <c r="AD74" s="39"/>
      <c r="AE74" s="39">
        <v>7.92</v>
      </c>
    </row>
    <row r="75" spans="1:31" ht="14">
      <c r="A75" s="164" t="s">
        <v>73</v>
      </c>
      <c r="B75" s="181">
        <v>4</v>
      </c>
      <c r="C75" s="181">
        <v>4</v>
      </c>
      <c r="D75" s="182" t="s">
        <v>3</v>
      </c>
      <c r="E75" s="131">
        <f t="shared" si="19"/>
        <v>2</v>
      </c>
      <c r="F75" s="131">
        <v>28</v>
      </c>
      <c r="G75" s="131">
        <f t="shared" si="20"/>
        <v>1.1522666666666668</v>
      </c>
      <c r="H75" s="131">
        <f t="shared" si="28"/>
        <v>0.95113333333333339</v>
      </c>
      <c r="I75" s="131">
        <v>0.75</v>
      </c>
      <c r="J75" s="131">
        <f t="shared" si="21"/>
        <v>0.80099999999999993</v>
      </c>
      <c r="K75" s="131">
        <f t="shared" si="22"/>
        <v>1.0679999999999998</v>
      </c>
      <c r="L75" s="131">
        <v>0.04</v>
      </c>
      <c r="M75" s="131">
        <v>0.2</v>
      </c>
      <c r="N75" s="131">
        <f t="shared" si="23"/>
        <v>0.10119402985074627</v>
      </c>
      <c r="O75" s="131">
        <f t="shared" si="26"/>
        <v>3.3312024447513235</v>
      </c>
      <c r="P75" s="131">
        <f t="shared" si="24"/>
        <v>3.7867165797483886E-2</v>
      </c>
      <c r="Q75" s="131">
        <f t="shared" si="25"/>
        <v>0.66666666666666674</v>
      </c>
      <c r="R75" s="131"/>
      <c r="S75" s="131">
        <v>0.71099999999999997</v>
      </c>
      <c r="T75" s="131">
        <f>S75</f>
        <v>0.71099999999999997</v>
      </c>
      <c r="U75" s="131"/>
      <c r="V75" s="131">
        <v>0.52</v>
      </c>
      <c r="W75" s="131">
        <f>(V75+K75)/2</f>
        <v>0.79399999999999993</v>
      </c>
      <c r="X75" s="131" t="s">
        <v>225</v>
      </c>
      <c r="Y75" s="131">
        <v>0.3</v>
      </c>
      <c r="Z75" s="131">
        <f t="shared" si="27"/>
        <v>69.453309869173054</v>
      </c>
      <c r="AA75" s="15">
        <v>38</v>
      </c>
      <c r="AB75" s="15">
        <v>25</v>
      </c>
      <c r="AC75" s="15">
        <v>0.10299999999999999</v>
      </c>
      <c r="AD75" s="75"/>
      <c r="AE75" s="108">
        <v>6.1</v>
      </c>
    </row>
    <row r="76" spans="1:31" ht="14">
      <c r="A76" s="164" t="s">
        <v>74</v>
      </c>
      <c r="B76" s="181">
        <v>2</v>
      </c>
      <c r="C76" s="181">
        <v>3</v>
      </c>
      <c r="D76" s="182" t="s">
        <v>8</v>
      </c>
      <c r="E76" s="131">
        <f t="shared" si="19"/>
        <v>1.5</v>
      </c>
      <c r="F76" s="131">
        <v>33.799999999999997</v>
      </c>
      <c r="G76" s="131">
        <f t="shared" si="20"/>
        <v>1.5980933333333329</v>
      </c>
      <c r="H76" s="131">
        <f t="shared" si="28"/>
        <v>1.1740466666666665</v>
      </c>
      <c r="I76" s="131">
        <v>0.75</v>
      </c>
      <c r="J76" s="131">
        <f t="shared" si="21"/>
        <v>0.39500000000000002</v>
      </c>
      <c r="K76" s="131">
        <f t="shared" si="22"/>
        <v>0.52666666666666673</v>
      </c>
      <c r="L76" s="131">
        <v>7.0000000000000007E-2</v>
      </c>
      <c r="M76" s="131">
        <v>0.2</v>
      </c>
      <c r="N76" s="131">
        <f t="shared" si="23"/>
        <v>0.10208955223880598</v>
      </c>
      <c r="O76" s="131">
        <f t="shared" si="26"/>
        <v>2.2796633482265425</v>
      </c>
      <c r="P76" s="131">
        <f t="shared" si="24"/>
        <v>0.17600894133959516</v>
      </c>
      <c r="Q76" s="131">
        <f t="shared" si="25"/>
        <v>0.83333333333333337</v>
      </c>
      <c r="R76" s="131">
        <v>43.2</v>
      </c>
      <c r="S76" s="131">
        <v>0.38900000000000001</v>
      </c>
      <c r="T76" s="131">
        <f t="shared" ref="T76:T83" si="29">(R76/100+S76)/2</f>
        <v>0.41050000000000003</v>
      </c>
      <c r="U76" s="131">
        <v>0.56999999999999995</v>
      </c>
      <c r="V76" s="131">
        <v>0.47</v>
      </c>
      <c r="W76" s="131">
        <f>(V76+U76+J76)/3</f>
        <v>0.47833333333333333</v>
      </c>
      <c r="X76" s="131" t="s">
        <v>225</v>
      </c>
      <c r="Y76" s="131">
        <v>0.1</v>
      </c>
      <c r="Z76" s="131">
        <f t="shared" si="27"/>
        <v>14.942422697297097</v>
      </c>
      <c r="AA76" s="15">
        <v>54</v>
      </c>
      <c r="AB76" s="15">
        <v>4.0999999999999996</v>
      </c>
      <c r="AC76" s="15">
        <v>14.712999999999999</v>
      </c>
      <c r="AD76" s="75"/>
      <c r="AE76" s="15">
        <v>6.05</v>
      </c>
    </row>
    <row r="77" spans="1:31" ht="14">
      <c r="A77" s="164" t="s">
        <v>75</v>
      </c>
      <c r="B77" s="181">
        <v>4</v>
      </c>
      <c r="C77" s="181">
        <v>5</v>
      </c>
      <c r="D77" s="182" t="s">
        <v>3</v>
      </c>
      <c r="E77" s="131">
        <f t="shared" si="19"/>
        <v>2.166666666666667</v>
      </c>
      <c r="F77" s="131">
        <v>47.7</v>
      </c>
      <c r="G77" s="131">
        <f t="shared" si="20"/>
        <v>2.6665400000000004</v>
      </c>
      <c r="H77" s="131">
        <f t="shared" si="28"/>
        <v>1.7082700000000002</v>
      </c>
      <c r="I77" s="131">
        <v>0.75</v>
      </c>
      <c r="J77" s="131">
        <f t="shared" si="21"/>
        <v>0.6</v>
      </c>
      <c r="K77" s="131">
        <f t="shared" si="22"/>
        <v>0.79999999999999993</v>
      </c>
      <c r="L77" s="131">
        <v>0.06</v>
      </c>
      <c r="M77" s="131">
        <v>0.2</v>
      </c>
      <c r="N77" s="131">
        <f t="shared" si="23"/>
        <v>0.1017910447761194</v>
      </c>
      <c r="O77" s="131">
        <f t="shared" si="26"/>
        <v>2.271926625284701</v>
      </c>
      <c r="P77" s="131">
        <f t="shared" si="24"/>
        <v>9.20371182098614E-3</v>
      </c>
      <c r="Q77" s="131">
        <f t="shared" si="25"/>
        <v>0.61111111111111094</v>
      </c>
      <c r="R77" s="131">
        <v>59.2</v>
      </c>
      <c r="S77" s="131">
        <f>1-0.404</f>
        <v>0.59599999999999997</v>
      </c>
      <c r="T77" s="131">
        <f t="shared" si="29"/>
        <v>0.59400000000000008</v>
      </c>
      <c r="U77" s="131"/>
      <c r="V77" s="131">
        <v>0.39</v>
      </c>
      <c r="W77" s="131">
        <f>(V77+K77)/2</f>
        <v>0.59499999999999997</v>
      </c>
      <c r="X77" s="131">
        <f>16/104</f>
        <v>0.15384615384615385</v>
      </c>
      <c r="Y77" s="131">
        <f t="shared" ref="Y77:Y82" si="30">X77</f>
        <v>0.15384615384615385</v>
      </c>
      <c r="Z77" s="131">
        <f t="shared" si="27"/>
        <v>285.75427513963666</v>
      </c>
      <c r="AA77" s="15">
        <v>47</v>
      </c>
      <c r="AB77" s="15"/>
      <c r="AC77" s="15">
        <v>10.217000000000001</v>
      </c>
      <c r="AD77" s="75"/>
      <c r="AE77" s="15">
        <v>2.79</v>
      </c>
    </row>
    <row r="78" spans="1:31" ht="14">
      <c r="A78" s="164" t="s">
        <v>76</v>
      </c>
      <c r="B78" s="181">
        <v>4</v>
      </c>
      <c r="C78" s="181">
        <v>4</v>
      </c>
      <c r="D78" s="182" t="s">
        <v>3</v>
      </c>
      <c r="E78" s="131">
        <f t="shared" si="19"/>
        <v>2</v>
      </c>
      <c r="F78" s="131">
        <v>43.8</v>
      </c>
      <c r="G78" s="131">
        <f t="shared" si="20"/>
        <v>2.3667599999999998</v>
      </c>
      <c r="H78" s="131">
        <f t="shared" si="28"/>
        <v>1.5583799999999999</v>
      </c>
      <c r="I78" s="131">
        <v>0.75</v>
      </c>
      <c r="J78" s="131">
        <f t="shared" si="21"/>
        <v>0.42400000000000004</v>
      </c>
      <c r="K78" s="131">
        <f t="shared" si="22"/>
        <v>0.56533333333333335</v>
      </c>
      <c r="L78" s="131">
        <v>0.08</v>
      </c>
      <c r="M78" s="131">
        <v>0.2</v>
      </c>
      <c r="N78" s="131">
        <f t="shared" si="23"/>
        <v>0.10238805970149255</v>
      </c>
      <c r="O78" s="131">
        <f t="shared" si="26"/>
        <v>1.8440625678971865</v>
      </c>
      <c r="P78" s="131">
        <f t="shared" si="24"/>
        <v>3.0647047833649552E-2</v>
      </c>
      <c r="Q78" s="131">
        <f t="shared" si="25"/>
        <v>0.66666666666666674</v>
      </c>
      <c r="R78" s="131">
        <v>57.7</v>
      </c>
      <c r="S78" s="131">
        <v>0.39600000000000002</v>
      </c>
      <c r="T78" s="131">
        <f t="shared" si="29"/>
        <v>0.48650000000000004</v>
      </c>
      <c r="U78" s="131">
        <v>0.29599999999999999</v>
      </c>
      <c r="V78" s="131">
        <v>0.65</v>
      </c>
      <c r="W78" s="131">
        <f t="shared" ref="W78:W83" si="31">(V78+U78+J78)/3</f>
        <v>0.45666666666666672</v>
      </c>
      <c r="X78" s="131">
        <f>-3/119</f>
        <v>-2.5210084033613446E-2</v>
      </c>
      <c r="Y78" s="131">
        <f t="shared" si="30"/>
        <v>-2.5210084033613446E-2</v>
      </c>
      <c r="Z78" s="131">
        <f t="shared" si="27"/>
        <v>85.815769736631452</v>
      </c>
      <c r="AA78" s="15" t="s">
        <v>223</v>
      </c>
      <c r="AB78" s="15"/>
      <c r="AC78" s="15">
        <v>1.53</v>
      </c>
      <c r="AD78" s="75"/>
      <c r="AE78" s="15">
        <v>1.99</v>
      </c>
    </row>
    <row r="79" spans="1:31" ht="14">
      <c r="A79" s="164" t="s">
        <v>77</v>
      </c>
      <c r="B79" s="181">
        <v>1</v>
      </c>
      <c r="C79" s="181">
        <v>1</v>
      </c>
      <c r="D79" s="182" t="s">
        <v>8</v>
      </c>
      <c r="E79" s="131">
        <f t="shared" si="19"/>
        <v>1</v>
      </c>
      <c r="F79" s="131">
        <v>22.6</v>
      </c>
      <c r="G79" s="131">
        <f t="shared" si="20"/>
        <v>0.73718666666666688</v>
      </c>
      <c r="H79" s="131">
        <f t="shared" si="28"/>
        <v>0.86859333333333344</v>
      </c>
      <c r="I79" s="183">
        <v>1</v>
      </c>
      <c r="J79" s="131">
        <f t="shared" si="21"/>
        <v>0.27900000000000003</v>
      </c>
      <c r="K79" s="131">
        <f t="shared" si="22"/>
        <v>0.37200000000000005</v>
      </c>
      <c r="L79" s="131">
        <v>0.44</v>
      </c>
      <c r="M79" s="131">
        <v>0.4</v>
      </c>
      <c r="N79" s="131">
        <f t="shared" si="23"/>
        <v>0.21313432835820897</v>
      </c>
      <c r="O79" s="131">
        <f t="shared" si="26"/>
        <v>2.1885002564846596</v>
      </c>
      <c r="P79" s="131">
        <f t="shared" si="24"/>
        <v>0.61462447003869392</v>
      </c>
      <c r="Q79" s="131">
        <f t="shared" si="25"/>
        <v>1</v>
      </c>
      <c r="R79" s="131">
        <v>24.7</v>
      </c>
      <c r="S79" s="131">
        <f>1-0.805</f>
        <v>0.19499999999999995</v>
      </c>
      <c r="T79" s="131">
        <f t="shared" si="29"/>
        <v>0.22099999999999997</v>
      </c>
      <c r="U79" s="131">
        <v>0.82599999999999996</v>
      </c>
      <c r="V79" s="131">
        <v>0.86</v>
      </c>
      <c r="W79" s="131">
        <f t="shared" si="31"/>
        <v>0.65499999999999992</v>
      </c>
      <c r="X79" s="131">
        <f>-9/97</f>
        <v>-9.2783505154639179E-2</v>
      </c>
      <c r="Y79" s="131">
        <f t="shared" si="30"/>
        <v>-9.2783505154639179E-2</v>
      </c>
      <c r="Z79" s="131">
        <f t="shared" si="27"/>
        <v>4.279035619643369</v>
      </c>
      <c r="AA79" s="15" t="s">
        <v>223</v>
      </c>
      <c r="AB79" s="15">
        <v>11</v>
      </c>
      <c r="AC79" s="15">
        <v>0.78400000000000003</v>
      </c>
      <c r="AD79" s="75"/>
      <c r="AE79" s="15">
        <v>6.05</v>
      </c>
    </row>
    <row r="80" spans="1:31" ht="14">
      <c r="A80" s="164" t="s">
        <v>78</v>
      </c>
      <c r="B80" s="181">
        <v>1</v>
      </c>
      <c r="C80" s="181">
        <v>1</v>
      </c>
      <c r="D80" s="182" t="s">
        <v>8</v>
      </c>
      <c r="E80" s="131">
        <f t="shared" si="19"/>
        <v>1</v>
      </c>
      <c r="F80" s="131"/>
      <c r="G80" s="131">
        <f t="shared" si="20"/>
        <v>-1</v>
      </c>
      <c r="H80" s="131">
        <v>0.67</v>
      </c>
      <c r="I80" s="131">
        <v>0.67</v>
      </c>
      <c r="J80" s="131">
        <f t="shared" si="21"/>
        <v>3.499999999999992E-2</v>
      </c>
      <c r="K80" s="131">
        <f t="shared" si="22"/>
        <v>4.6666666666666558E-2</v>
      </c>
      <c r="L80" s="131">
        <v>0.08</v>
      </c>
      <c r="M80" s="131">
        <v>0.2</v>
      </c>
      <c r="N80" s="131">
        <f t="shared" si="23"/>
        <v>0.10238805970149255</v>
      </c>
      <c r="O80" s="131">
        <f t="shared" si="26"/>
        <v>1.3766801569467531</v>
      </c>
      <c r="P80" s="131">
        <f t="shared" si="24"/>
        <v>1.1594307127945505</v>
      </c>
      <c r="Q80" s="131">
        <f t="shared" si="25"/>
        <v>1</v>
      </c>
      <c r="R80" s="131">
        <v>28</v>
      </c>
      <c r="S80" s="131">
        <f>1-0.869</f>
        <v>0.13100000000000001</v>
      </c>
      <c r="T80" s="131">
        <f t="shared" si="29"/>
        <v>0.20550000000000002</v>
      </c>
      <c r="U80" s="131">
        <v>1.3</v>
      </c>
      <c r="V80" s="131">
        <v>0.76</v>
      </c>
      <c r="W80" s="131">
        <f t="shared" si="31"/>
        <v>0.69833333333333325</v>
      </c>
      <c r="X80" s="131">
        <f>-59/101</f>
        <v>-0.58415841584158412</v>
      </c>
      <c r="Y80" s="131">
        <f t="shared" si="30"/>
        <v>-0.58415841584158412</v>
      </c>
      <c r="Z80" s="131">
        <f t="shared" si="27"/>
        <v>2.2683546079790906</v>
      </c>
      <c r="AA80" s="45">
        <v>80</v>
      </c>
      <c r="AB80" s="45">
        <v>40.6</v>
      </c>
      <c r="AC80" s="45">
        <v>9.6999999999999993</v>
      </c>
      <c r="AD80" s="45"/>
      <c r="AE80" s="45">
        <v>4</v>
      </c>
    </row>
    <row r="81" spans="1:31" ht="14">
      <c r="A81" s="164" t="s">
        <v>79</v>
      </c>
      <c r="B81" s="181">
        <v>2</v>
      </c>
      <c r="C81" s="181">
        <v>3</v>
      </c>
      <c r="D81" s="182" t="s">
        <v>8</v>
      </c>
      <c r="E81" s="131">
        <f t="shared" si="19"/>
        <v>1.5</v>
      </c>
      <c r="F81" s="131">
        <v>31.1</v>
      </c>
      <c r="G81" s="131">
        <f>16/15-1</f>
        <v>6.6666666666666652E-2</v>
      </c>
      <c r="H81" s="131">
        <f t="shared" ref="H81:H92" si="32">(G81+I81)/2</f>
        <v>0.53333333333333333</v>
      </c>
      <c r="I81" s="131">
        <v>1</v>
      </c>
      <c r="J81" s="131">
        <f t="shared" si="21"/>
        <v>0.27200000000000002</v>
      </c>
      <c r="K81" s="131">
        <f t="shared" si="22"/>
        <v>0.36266666666666669</v>
      </c>
      <c r="L81" s="131">
        <v>2.34</v>
      </c>
      <c r="M81" s="131">
        <v>0.6</v>
      </c>
      <c r="N81" s="131">
        <f t="shared" si="23"/>
        <v>0.36985074626865672</v>
      </c>
      <c r="O81" s="131">
        <f t="shared" si="26"/>
        <v>2.1634822901805837</v>
      </c>
      <c r="P81" s="131">
        <f t="shared" si="24"/>
        <v>0.39384719564812087</v>
      </c>
      <c r="Q81" s="131">
        <f t="shared" si="25"/>
        <v>0.83333333333333337</v>
      </c>
      <c r="R81" s="131">
        <v>36.799999999999997</v>
      </c>
      <c r="S81" s="131">
        <v>0.48099999999999998</v>
      </c>
      <c r="T81" s="131">
        <f t="shared" si="29"/>
        <v>0.42449999999999999</v>
      </c>
      <c r="U81" s="131">
        <v>0.51600000000000001</v>
      </c>
      <c r="V81" s="131">
        <v>0.22</v>
      </c>
      <c r="W81" s="131">
        <f t="shared" si="31"/>
        <v>0.33600000000000002</v>
      </c>
      <c r="X81" s="131">
        <f>25/151</f>
        <v>0.16556291390728478</v>
      </c>
      <c r="Y81" s="131">
        <f t="shared" si="30"/>
        <v>0.16556291390728478</v>
      </c>
      <c r="Z81" s="131">
        <f t="shared" si="27"/>
        <v>6.6777167111017057</v>
      </c>
      <c r="AA81" s="15">
        <v>65</v>
      </c>
      <c r="AB81" s="15">
        <v>4.8</v>
      </c>
      <c r="AC81" s="15">
        <v>8.2149999999999999</v>
      </c>
      <c r="AD81" s="75"/>
      <c r="AE81" s="15">
        <v>5.76</v>
      </c>
    </row>
    <row r="82" spans="1:31" ht="14">
      <c r="A82" s="164" t="s">
        <v>80</v>
      </c>
      <c r="B82" s="181">
        <v>2</v>
      </c>
      <c r="C82" s="181">
        <v>3</v>
      </c>
      <c r="D82" s="182" t="s">
        <v>8</v>
      </c>
      <c r="E82" s="131">
        <f t="shared" si="19"/>
        <v>1.5</v>
      </c>
      <c r="F82" s="131">
        <v>29.9</v>
      </c>
      <c r="G82" s="131">
        <f t="shared" ref="G82:G101" si="33">1.153*F82/15-1</f>
        <v>1.2983133333333332</v>
      </c>
      <c r="H82" s="131">
        <f t="shared" si="32"/>
        <v>1.1491566666666666</v>
      </c>
      <c r="I82" s="131">
        <v>1</v>
      </c>
      <c r="J82" s="131">
        <f t="shared" si="21"/>
        <v>0.34699999999999998</v>
      </c>
      <c r="K82" s="131">
        <f t="shared" si="22"/>
        <v>0.46266666666666662</v>
      </c>
      <c r="L82" s="131">
        <v>0.86</v>
      </c>
      <c r="M82" s="131">
        <v>0.6</v>
      </c>
      <c r="N82" s="131">
        <f t="shared" si="23"/>
        <v>0.32567164179104474</v>
      </c>
      <c r="O82" s="131">
        <f t="shared" si="26"/>
        <v>1.7394696134682293</v>
      </c>
      <c r="P82" s="131">
        <f t="shared" si="24"/>
        <v>0.143810529018563</v>
      </c>
      <c r="Q82" s="131">
        <f t="shared" si="25"/>
        <v>0.83333333333333337</v>
      </c>
      <c r="R82" s="131">
        <v>36.799999999999997</v>
      </c>
      <c r="S82" s="131">
        <v>0.4</v>
      </c>
      <c r="T82" s="131">
        <f t="shared" si="29"/>
        <v>0.38400000000000001</v>
      </c>
      <c r="U82" s="131">
        <v>0.245</v>
      </c>
      <c r="V82" s="131">
        <f>1-0.64</f>
        <v>0.36</v>
      </c>
      <c r="W82" s="131">
        <f t="shared" si="31"/>
        <v>0.3173333333333333</v>
      </c>
      <c r="X82" s="131">
        <f>-5/135</f>
        <v>-3.7037037037037035E-2</v>
      </c>
      <c r="Y82" s="131">
        <f t="shared" si="30"/>
        <v>-3.7037037037037035E-2</v>
      </c>
      <c r="Z82" s="131">
        <f t="shared" si="27"/>
        <v>18.287951639900584</v>
      </c>
      <c r="AA82" s="49">
        <v>13.9</v>
      </c>
      <c r="AB82" s="49">
        <v>10.9</v>
      </c>
      <c r="AC82" s="49">
        <v>9.9849999999999994</v>
      </c>
      <c r="AD82" s="49"/>
      <c r="AE82" s="49">
        <v>7.21</v>
      </c>
    </row>
    <row r="83" spans="1:31" ht="14">
      <c r="A83" s="164" t="s">
        <v>81</v>
      </c>
      <c r="B83" s="181">
        <v>6</v>
      </c>
      <c r="C83" s="181">
        <v>6</v>
      </c>
      <c r="D83" s="182" t="s">
        <v>4</v>
      </c>
      <c r="E83" s="131">
        <f t="shared" si="19"/>
        <v>2.666666666666667</v>
      </c>
      <c r="F83" s="131">
        <v>29.6</v>
      </c>
      <c r="G83" s="131">
        <f t="shared" si="33"/>
        <v>1.2752533333333336</v>
      </c>
      <c r="H83" s="131">
        <f t="shared" si="32"/>
        <v>1.3042933333333333</v>
      </c>
      <c r="I83" s="131">
        <f>4/3</f>
        <v>1.3333333333333333</v>
      </c>
      <c r="J83" s="131">
        <f t="shared" si="21"/>
        <v>0.80600000000000005</v>
      </c>
      <c r="K83" s="131">
        <f t="shared" si="22"/>
        <v>1.0746666666666667</v>
      </c>
      <c r="L83" s="131">
        <v>0.62</v>
      </c>
      <c r="M83" s="131">
        <v>0.6</v>
      </c>
      <c r="N83" s="131">
        <f t="shared" si="23"/>
        <v>0.31850746268656716</v>
      </c>
      <c r="O83" s="131">
        <f t="shared" si="26"/>
        <v>2.3921644131391453</v>
      </c>
      <c r="P83" s="131">
        <f t="shared" si="24"/>
        <v>1.9768260589727743E-3</v>
      </c>
      <c r="Q83" s="131">
        <f t="shared" si="25"/>
        <v>0.44444444444444431</v>
      </c>
      <c r="R83" s="131">
        <v>44.5</v>
      </c>
      <c r="S83" s="131">
        <f>0.298</f>
        <v>0.29799999999999999</v>
      </c>
      <c r="T83" s="131">
        <f t="shared" si="29"/>
        <v>0.3715</v>
      </c>
      <c r="U83" s="131">
        <v>0.11600000000000001</v>
      </c>
      <c r="V83" s="131">
        <v>0.75</v>
      </c>
      <c r="W83" s="131">
        <f t="shared" si="31"/>
        <v>0.55733333333333335</v>
      </c>
      <c r="X83" s="131">
        <f>4/119</f>
        <v>3.3613445378151259E-2</v>
      </c>
      <c r="Y83" s="131">
        <f>X83+1</f>
        <v>1.0336134453781514</v>
      </c>
      <c r="Z83" s="131">
        <f t="shared" si="27"/>
        <v>1330.4154849954966</v>
      </c>
      <c r="AA83" s="70" t="s">
        <v>223</v>
      </c>
      <c r="AB83" s="70">
        <v>6</v>
      </c>
      <c r="AC83" s="70">
        <v>0.31900000000000001</v>
      </c>
      <c r="AD83" s="75"/>
      <c r="AE83" s="70">
        <v>9.65</v>
      </c>
    </row>
    <row r="84" spans="1:31" ht="14">
      <c r="A84" s="164" t="s">
        <v>82</v>
      </c>
      <c r="B84" s="181">
        <v>5</v>
      </c>
      <c r="C84" s="181">
        <v>6</v>
      </c>
      <c r="D84" s="182" t="s">
        <v>4</v>
      </c>
      <c r="E84" s="131">
        <f t="shared" si="19"/>
        <v>2.5</v>
      </c>
      <c r="F84" s="131">
        <v>25.7</v>
      </c>
      <c r="G84" s="131">
        <f t="shared" si="33"/>
        <v>0.97547333333333341</v>
      </c>
      <c r="H84" s="131">
        <f t="shared" si="32"/>
        <v>0.86273666666666671</v>
      </c>
      <c r="I84" s="131">
        <v>0.75</v>
      </c>
      <c r="J84" s="131">
        <f t="shared" si="21"/>
        <v>0.6</v>
      </c>
      <c r="K84" s="131">
        <f t="shared" si="22"/>
        <v>0.79999999999999993</v>
      </c>
      <c r="L84" s="131">
        <v>0.5</v>
      </c>
      <c r="M84" s="131">
        <v>0.2</v>
      </c>
      <c r="N84" s="131">
        <f t="shared" si="23"/>
        <v>0.11492537313432837</v>
      </c>
      <c r="O84" s="131">
        <f t="shared" si="26"/>
        <v>1.6904588483790914</v>
      </c>
      <c r="P84" s="131">
        <f t="shared" si="24"/>
        <v>3.0894680768445672E-2</v>
      </c>
      <c r="Q84" s="131">
        <f t="shared" si="25"/>
        <v>0.5</v>
      </c>
      <c r="R84" s="131"/>
      <c r="S84" s="131">
        <v>0.53</v>
      </c>
      <c r="T84" s="131">
        <f>S84</f>
        <v>0.53</v>
      </c>
      <c r="U84" s="131"/>
      <c r="V84" s="131">
        <v>0.04</v>
      </c>
      <c r="W84" s="131">
        <f>(V84+K84)/2</f>
        <v>0.42</v>
      </c>
      <c r="X84" s="131" t="s">
        <v>225</v>
      </c>
      <c r="Y84" s="131">
        <v>0.1</v>
      </c>
      <c r="Z84" s="131">
        <f t="shared" si="27"/>
        <v>85.127922819845224</v>
      </c>
      <c r="AA84" s="105">
        <v>25</v>
      </c>
      <c r="AB84" s="105">
        <v>9.8000000000000007</v>
      </c>
      <c r="AC84" s="105">
        <v>1215</v>
      </c>
      <c r="AD84" s="105"/>
      <c r="AE84" s="105">
        <v>7.28</v>
      </c>
    </row>
    <row r="85" spans="1:31" ht="14">
      <c r="A85" s="164" t="s">
        <v>83</v>
      </c>
      <c r="B85" s="181">
        <v>1</v>
      </c>
      <c r="C85" s="181">
        <v>1</v>
      </c>
      <c r="D85" s="182" t="s">
        <v>8</v>
      </c>
      <c r="E85" s="131">
        <f t="shared" si="19"/>
        <v>1</v>
      </c>
      <c r="F85" s="131">
        <v>27.2</v>
      </c>
      <c r="G85" s="131">
        <f t="shared" si="33"/>
        <v>1.0907733333333334</v>
      </c>
      <c r="H85" s="131">
        <f t="shared" si="32"/>
        <v>0.92038666666666669</v>
      </c>
      <c r="I85" s="131">
        <v>0.75</v>
      </c>
      <c r="J85" s="131">
        <f t="shared" si="21"/>
        <v>0.12100000000000011</v>
      </c>
      <c r="K85" s="131">
        <f t="shared" si="22"/>
        <v>0.16133333333333347</v>
      </c>
      <c r="L85" s="131">
        <v>0.53</v>
      </c>
      <c r="M85" s="131">
        <v>0.2</v>
      </c>
      <c r="N85" s="131">
        <f t="shared" si="23"/>
        <v>0.11582089552238807</v>
      </c>
      <c r="O85" s="131">
        <f t="shared" si="26"/>
        <v>2.3278053781557682</v>
      </c>
      <c r="P85" s="131">
        <f t="shared" si="24"/>
        <v>0.79409113134081444</v>
      </c>
      <c r="Q85" s="131">
        <f t="shared" si="25"/>
        <v>1</v>
      </c>
      <c r="R85" s="131">
        <v>33.9</v>
      </c>
      <c r="S85" s="131">
        <f>1-0.895</f>
        <v>0.10499999999999998</v>
      </c>
      <c r="T85" s="131">
        <f t="shared" ref="T85:T92" si="34">(R85/100+S85)/2</f>
        <v>0.22199999999999998</v>
      </c>
      <c r="U85" s="131">
        <v>1.07</v>
      </c>
      <c r="V85" s="131">
        <v>0.9</v>
      </c>
      <c r="W85" s="131">
        <f t="shared" ref="W85:W92" si="35">(V85+U85+J85)/3</f>
        <v>0.69700000000000006</v>
      </c>
      <c r="X85" s="131">
        <f>-8/108</f>
        <v>-7.407407407407407E-2</v>
      </c>
      <c r="Y85" s="131">
        <f>X85</f>
        <v>-7.407407407407407E-2</v>
      </c>
      <c r="Z85" s="131">
        <f t="shared" si="27"/>
        <v>3.3119624388189211</v>
      </c>
      <c r="AA85" s="25">
        <v>13.33</v>
      </c>
      <c r="AB85" s="25">
        <v>6.7</v>
      </c>
      <c r="AC85" s="25">
        <v>237</v>
      </c>
      <c r="AD85" s="25"/>
      <c r="AE85" s="25">
        <v>6.53</v>
      </c>
    </row>
    <row r="86" spans="1:31" ht="14">
      <c r="A86" s="164" t="s">
        <v>84</v>
      </c>
      <c r="B86" s="181">
        <v>1</v>
      </c>
      <c r="C86" s="181">
        <v>2</v>
      </c>
      <c r="D86" s="182" t="s">
        <v>8</v>
      </c>
      <c r="E86" s="131">
        <f t="shared" si="19"/>
        <v>1.1666666666666667</v>
      </c>
      <c r="F86" s="131">
        <v>24.3</v>
      </c>
      <c r="G86" s="131">
        <f t="shared" si="33"/>
        <v>0.86786000000000008</v>
      </c>
      <c r="H86" s="131">
        <f t="shared" si="32"/>
        <v>0.93393000000000004</v>
      </c>
      <c r="I86" s="131">
        <v>1</v>
      </c>
      <c r="J86" s="131">
        <f t="shared" si="21"/>
        <v>0.252</v>
      </c>
      <c r="K86" s="131">
        <f t="shared" si="22"/>
        <v>0.33600000000000002</v>
      </c>
      <c r="L86" s="131">
        <v>0.45</v>
      </c>
      <c r="M86" s="131">
        <v>0.6</v>
      </c>
      <c r="N86" s="131">
        <f t="shared" si="23"/>
        <v>0.31343283582089554</v>
      </c>
      <c r="O86" s="131">
        <f t="shared" si="26"/>
        <v>1.934066482938442</v>
      </c>
      <c r="P86" s="131">
        <f t="shared" si="24"/>
        <v>0.41466977615988837</v>
      </c>
      <c r="Q86" s="131">
        <f t="shared" si="25"/>
        <v>0.94444444444444442</v>
      </c>
      <c r="R86" s="131">
        <v>39.200000000000003</v>
      </c>
      <c r="S86" s="131">
        <f>1-0.872</f>
        <v>0.128</v>
      </c>
      <c r="T86" s="131">
        <f t="shared" si="34"/>
        <v>0.26</v>
      </c>
      <c r="U86" s="131">
        <v>0.74</v>
      </c>
      <c r="V86" s="131">
        <v>0.52</v>
      </c>
      <c r="W86" s="131">
        <f t="shared" si="35"/>
        <v>0.504</v>
      </c>
      <c r="X86" s="131">
        <f>-8/122</f>
        <v>-6.5573770491803282E-2</v>
      </c>
      <c r="Y86" s="131">
        <f>X86</f>
        <v>-6.5573770491803282E-2</v>
      </c>
      <c r="Z86" s="131">
        <f t="shared" si="27"/>
        <v>6.3423961696835232</v>
      </c>
      <c r="AA86" s="125">
        <v>18.7</v>
      </c>
      <c r="AB86" s="125">
        <v>15.3</v>
      </c>
      <c r="AC86" s="125">
        <v>76</v>
      </c>
      <c r="AD86" s="125"/>
      <c r="AE86" s="125">
        <v>1.94</v>
      </c>
    </row>
    <row r="87" spans="1:31" ht="14">
      <c r="A87" s="164" t="s">
        <v>85</v>
      </c>
      <c r="B87" s="181">
        <v>1</v>
      </c>
      <c r="C87" s="181">
        <v>2</v>
      </c>
      <c r="D87" s="182" t="s">
        <v>8</v>
      </c>
      <c r="E87" s="131">
        <f t="shared" si="19"/>
        <v>1.1666666666666667</v>
      </c>
      <c r="F87" s="131">
        <v>26.8</v>
      </c>
      <c r="G87" s="131">
        <f t="shared" si="33"/>
        <v>1.0600266666666669</v>
      </c>
      <c r="H87" s="131">
        <f t="shared" si="32"/>
        <v>0.90501333333333345</v>
      </c>
      <c r="I87" s="131">
        <v>0.75</v>
      </c>
      <c r="J87" s="131">
        <f t="shared" si="21"/>
        <v>0.21699999999999997</v>
      </c>
      <c r="K87" s="131">
        <f t="shared" si="22"/>
        <v>0.28933333333333328</v>
      </c>
      <c r="L87" s="131">
        <v>3.16</v>
      </c>
      <c r="M87" s="131">
        <v>0.6</v>
      </c>
      <c r="N87" s="131">
        <f t="shared" si="23"/>
        <v>0.39432835820895523</v>
      </c>
      <c r="O87" s="131">
        <f t="shared" si="26"/>
        <v>2.7380170061908102</v>
      </c>
      <c r="P87" s="131">
        <f t="shared" si="24"/>
        <v>0.41210778511183943</v>
      </c>
      <c r="Q87" s="131">
        <f t="shared" si="25"/>
        <v>0.94444444444444442</v>
      </c>
      <c r="R87" s="131">
        <v>32</v>
      </c>
      <c r="S87" s="131">
        <f>1-0.854</f>
        <v>0.14600000000000002</v>
      </c>
      <c r="T87" s="131">
        <f t="shared" si="34"/>
        <v>0.23300000000000001</v>
      </c>
      <c r="U87" s="131">
        <v>1.2010000000000001</v>
      </c>
      <c r="V87" s="131">
        <v>0.96</v>
      </c>
      <c r="W87" s="131">
        <f t="shared" si="35"/>
        <v>0.79266666666666674</v>
      </c>
      <c r="X87" s="131">
        <f>4/98</f>
        <v>4.0816326530612242E-2</v>
      </c>
      <c r="Y87" s="131">
        <f>X87</f>
        <v>4.0816326530612242E-2</v>
      </c>
      <c r="Z87" s="131">
        <f t="shared" si="27"/>
        <v>6.3818255684887397</v>
      </c>
      <c r="AA87" s="45">
        <v>25</v>
      </c>
      <c r="AB87" s="45">
        <v>15</v>
      </c>
      <c r="AC87" s="45">
        <v>33.299999999999997</v>
      </c>
      <c r="AD87" s="45"/>
      <c r="AE87" s="45">
        <v>4</v>
      </c>
    </row>
    <row r="88" spans="1:31" ht="14">
      <c r="A88" s="164" t="s">
        <v>86</v>
      </c>
      <c r="B88" s="181">
        <v>2</v>
      </c>
      <c r="C88" s="181">
        <v>3</v>
      </c>
      <c r="D88" s="182" t="s">
        <v>8</v>
      </c>
      <c r="E88" s="131">
        <f t="shared" si="19"/>
        <v>1.5</v>
      </c>
      <c r="F88" s="131">
        <v>35.799999999999997</v>
      </c>
      <c r="G88" s="131">
        <f t="shared" si="33"/>
        <v>1.7518266666666666</v>
      </c>
      <c r="H88" s="131">
        <f t="shared" si="32"/>
        <v>1.2509133333333333</v>
      </c>
      <c r="I88" s="131">
        <v>0.75</v>
      </c>
      <c r="J88" s="131">
        <f t="shared" si="21"/>
        <v>0.27900000000000003</v>
      </c>
      <c r="K88" s="131">
        <f t="shared" si="22"/>
        <v>0.37200000000000005</v>
      </c>
      <c r="L88" s="131">
        <v>0.14000000000000001</v>
      </c>
      <c r="M88" s="131">
        <v>0.2</v>
      </c>
      <c r="N88" s="131">
        <f t="shared" si="23"/>
        <v>0.10417910447761194</v>
      </c>
      <c r="O88" s="131">
        <f t="shared" si="26"/>
        <v>2.9093121150724977</v>
      </c>
      <c r="P88" s="131">
        <f t="shared" si="24"/>
        <v>0.19717673695600907</v>
      </c>
      <c r="Q88" s="131">
        <f t="shared" si="25"/>
        <v>0.83333333333333337</v>
      </c>
      <c r="R88" s="131">
        <v>45.5</v>
      </c>
      <c r="S88" s="131">
        <v>0.312</v>
      </c>
      <c r="T88" s="131">
        <f t="shared" si="34"/>
        <v>0.38350000000000001</v>
      </c>
      <c r="U88" s="131">
        <v>1.2649999999999999</v>
      </c>
      <c r="V88" s="131">
        <v>0.85</v>
      </c>
      <c r="W88" s="131">
        <f t="shared" si="35"/>
        <v>0.79799999999999993</v>
      </c>
      <c r="X88" s="131" t="s">
        <v>223</v>
      </c>
      <c r="Y88" s="131">
        <v>0.1</v>
      </c>
      <c r="Z88" s="131">
        <f t="shared" si="27"/>
        <v>13.338287470426918</v>
      </c>
      <c r="AA88" s="39">
        <v>5.5</v>
      </c>
      <c r="AB88" s="39">
        <v>14.3</v>
      </c>
      <c r="AC88" s="39">
        <v>4.5880000000000001</v>
      </c>
      <c r="AD88" s="39"/>
      <c r="AE88" s="39">
        <v>8.7899999999999991</v>
      </c>
    </row>
    <row r="89" spans="1:31" ht="14">
      <c r="A89" s="164" t="s">
        <v>87</v>
      </c>
      <c r="B89" s="181">
        <v>1</v>
      </c>
      <c r="C89" s="181">
        <v>2</v>
      </c>
      <c r="D89" s="182" t="s">
        <v>8</v>
      </c>
      <c r="E89" s="131">
        <f t="shared" si="19"/>
        <v>1.1666666666666667</v>
      </c>
      <c r="F89" s="131">
        <v>27.5</v>
      </c>
      <c r="G89" s="131">
        <f t="shared" si="33"/>
        <v>1.1138333333333335</v>
      </c>
      <c r="H89" s="131">
        <f t="shared" si="32"/>
        <v>1.14025</v>
      </c>
      <c r="I89" s="183">
        <f>7/6</f>
        <v>1.1666666666666667</v>
      </c>
      <c r="J89" s="131">
        <f t="shared" si="21"/>
        <v>0.19199999999999995</v>
      </c>
      <c r="K89" s="131">
        <f t="shared" si="22"/>
        <v>0.25599999999999995</v>
      </c>
      <c r="L89" s="131">
        <v>6.23</v>
      </c>
      <c r="M89" s="131">
        <v>0.8</v>
      </c>
      <c r="N89" s="131">
        <f t="shared" si="23"/>
        <v>0.58597014925373136</v>
      </c>
      <c r="O89" s="131">
        <f t="shared" si="26"/>
        <v>3.4938350461726508</v>
      </c>
      <c r="P89" s="131">
        <f t="shared" si="24"/>
        <v>0.26038178323759764</v>
      </c>
      <c r="Q89" s="131">
        <f t="shared" si="25"/>
        <v>0.94444444444444442</v>
      </c>
      <c r="R89" s="131">
        <v>37.6</v>
      </c>
      <c r="S89" s="131">
        <f>1-0.884</f>
        <v>0.11599999999999999</v>
      </c>
      <c r="T89" s="131">
        <f t="shared" si="34"/>
        <v>0.246</v>
      </c>
      <c r="U89" s="131">
        <v>2.0819999999999999</v>
      </c>
      <c r="V89" s="131">
        <v>1.05</v>
      </c>
      <c r="W89" s="131">
        <f t="shared" si="35"/>
        <v>1.1079999999999999</v>
      </c>
      <c r="X89" s="131">
        <f>-3/102</f>
        <v>-2.9411764705882353E-2</v>
      </c>
      <c r="Y89" s="131">
        <f>X89</f>
        <v>-2.9411764705882353E-2</v>
      </c>
      <c r="Z89" s="131">
        <f t="shared" si="27"/>
        <v>10.100552992987732</v>
      </c>
      <c r="AA89" s="79">
        <v>23.6</v>
      </c>
      <c r="AB89" s="79">
        <v>5.6</v>
      </c>
      <c r="AC89" s="79">
        <v>7.8</v>
      </c>
      <c r="AD89" s="75"/>
      <c r="AE89" s="79">
        <v>7.48</v>
      </c>
    </row>
    <row r="90" spans="1:31" ht="14">
      <c r="A90" s="164" t="s">
        <v>88</v>
      </c>
      <c r="B90" s="181">
        <v>6</v>
      </c>
      <c r="C90" s="181">
        <v>5</v>
      </c>
      <c r="D90" s="182" t="s">
        <v>4</v>
      </c>
      <c r="E90" s="131">
        <f t="shared" si="19"/>
        <v>2.5</v>
      </c>
      <c r="F90" s="131">
        <v>30.7</v>
      </c>
      <c r="G90" s="131">
        <f t="shared" si="33"/>
        <v>1.3598066666666666</v>
      </c>
      <c r="H90" s="131">
        <f t="shared" si="32"/>
        <v>1.0549033333333333</v>
      </c>
      <c r="I90" s="131">
        <v>0.75</v>
      </c>
      <c r="J90" s="131">
        <f t="shared" si="21"/>
        <v>0.626</v>
      </c>
      <c r="K90" s="131">
        <f t="shared" si="22"/>
        <v>0.83466666666666667</v>
      </c>
      <c r="L90" s="131">
        <v>0.1</v>
      </c>
      <c r="M90" s="131">
        <v>0.2</v>
      </c>
      <c r="N90" s="131">
        <f t="shared" si="23"/>
        <v>0.10298507462686568</v>
      </c>
      <c r="O90" s="131">
        <f t="shared" si="26"/>
        <v>1.7024295723276306</v>
      </c>
      <c r="P90" s="131">
        <f t="shared" si="24"/>
        <v>1.8053714238651208E-2</v>
      </c>
      <c r="Q90" s="131">
        <f t="shared" si="25"/>
        <v>0.5</v>
      </c>
      <c r="R90" s="131">
        <v>39.700000000000003</v>
      </c>
      <c r="S90" s="131">
        <v>0.31900000000000001</v>
      </c>
      <c r="T90" s="131">
        <f t="shared" si="34"/>
        <v>0.35799999999999998</v>
      </c>
      <c r="U90" s="131">
        <v>0.60699999999999998</v>
      </c>
      <c r="V90" s="131">
        <v>0.75</v>
      </c>
      <c r="W90" s="131">
        <f t="shared" si="35"/>
        <v>0.66100000000000003</v>
      </c>
      <c r="X90" s="131">
        <f>6/133</f>
        <v>4.5112781954887216E-2</v>
      </c>
      <c r="Y90" s="131">
        <f>X90</f>
        <v>4.5112781954887216E-2</v>
      </c>
      <c r="Z90" s="131">
        <f t="shared" si="27"/>
        <v>145.67639463182769</v>
      </c>
      <c r="AA90" s="39" t="s">
        <v>223</v>
      </c>
      <c r="AB90" s="39">
        <v>8.4</v>
      </c>
      <c r="AC90" s="39">
        <v>61</v>
      </c>
      <c r="AD90" s="39"/>
      <c r="AE90" s="39">
        <v>7.83</v>
      </c>
    </row>
    <row r="91" spans="1:31" ht="14">
      <c r="A91" s="164" t="s">
        <v>89</v>
      </c>
      <c r="B91" s="181">
        <v>6</v>
      </c>
      <c r="C91" s="181">
        <v>5</v>
      </c>
      <c r="D91" s="182" t="s">
        <v>4</v>
      </c>
      <c r="E91" s="131">
        <f t="shared" si="19"/>
        <v>2.5</v>
      </c>
      <c r="F91" s="131">
        <v>25.2</v>
      </c>
      <c r="G91" s="131">
        <f t="shared" si="33"/>
        <v>0.93703999999999987</v>
      </c>
      <c r="H91" s="131">
        <f t="shared" si="32"/>
        <v>0.84351999999999994</v>
      </c>
      <c r="I91" s="131">
        <v>0.75</v>
      </c>
      <c r="J91" s="131">
        <f t="shared" si="21"/>
        <v>0.67</v>
      </c>
      <c r="K91" s="131">
        <f t="shared" si="22"/>
        <v>0.89333333333333342</v>
      </c>
      <c r="L91" s="131">
        <v>0.17</v>
      </c>
      <c r="M91" s="131">
        <v>0.2</v>
      </c>
      <c r="N91" s="131">
        <f t="shared" si="23"/>
        <v>0.10507462686567165</v>
      </c>
      <c r="O91" s="131">
        <f t="shared" si="26"/>
        <v>1.2531462730984981</v>
      </c>
      <c r="P91" s="131">
        <f t="shared" si="24"/>
        <v>2.6309214122094634E-2</v>
      </c>
      <c r="Q91" s="131">
        <f t="shared" si="25"/>
        <v>0.5</v>
      </c>
      <c r="R91" s="131">
        <v>26.7</v>
      </c>
      <c r="S91" s="131">
        <f>1-0.714</f>
        <v>0.28600000000000003</v>
      </c>
      <c r="T91" s="131">
        <f t="shared" si="34"/>
        <v>0.27650000000000002</v>
      </c>
      <c r="U91" s="131">
        <v>0.16</v>
      </c>
      <c r="V91" s="131">
        <v>0.25</v>
      </c>
      <c r="W91" s="131">
        <f t="shared" si="35"/>
        <v>0.36000000000000004</v>
      </c>
      <c r="X91" s="131">
        <f>-25/135</f>
        <v>-0.18518518518518517</v>
      </c>
      <c r="Y91" s="131">
        <f>X91</f>
        <v>-0.18518518518518517</v>
      </c>
      <c r="Z91" s="131">
        <f t="shared" si="27"/>
        <v>99.964977585222144</v>
      </c>
      <c r="AA91" s="15">
        <v>16.5</v>
      </c>
      <c r="AB91" s="15">
        <v>12.7</v>
      </c>
      <c r="AC91" s="15">
        <v>2.7</v>
      </c>
      <c r="AD91" s="75"/>
      <c r="AE91" s="15">
        <v>7.21</v>
      </c>
    </row>
    <row r="92" spans="1:31" ht="14">
      <c r="A92" s="164" t="s">
        <v>90</v>
      </c>
      <c r="B92" s="181">
        <v>4</v>
      </c>
      <c r="C92" s="181">
        <v>3</v>
      </c>
      <c r="D92" s="182" t="s">
        <v>3</v>
      </c>
      <c r="E92" s="131">
        <f t="shared" si="19"/>
        <v>1.8333333333333335</v>
      </c>
      <c r="F92" s="131">
        <v>37.799999999999997</v>
      </c>
      <c r="G92" s="131">
        <f t="shared" si="33"/>
        <v>1.9055599999999999</v>
      </c>
      <c r="H92" s="131">
        <f t="shared" si="32"/>
        <v>1.32778</v>
      </c>
      <c r="I92" s="131">
        <v>0.75</v>
      </c>
      <c r="J92" s="131">
        <f t="shared" si="21"/>
        <v>0.52900000000000003</v>
      </c>
      <c r="K92" s="131">
        <f t="shared" si="22"/>
        <v>0.70533333333333337</v>
      </c>
      <c r="L92" s="131">
        <v>0.14000000000000001</v>
      </c>
      <c r="M92" s="131">
        <v>0.2</v>
      </c>
      <c r="N92" s="131">
        <f t="shared" si="23"/>
        <v>0.10417910447761194</v>
      </c>
      <c r="O92" s="131">
        <f t="shared" si="26"/>
        <v>2.4301967525984458</v>
      </c>
      <c r="P92" s="131">
        <f t="shared" si="24"/>
        <v>5.226723306288085E-2</v>
      </c>
      <c r="Q92" s="131">
        <f t="shared" si="25"/>
        <v>0.7222222222222221</v>
      </c>
      <c r="R92" s="131">
        <v>42.5</v>
      </c>
      <c r="S92" s="184">
        <v>0.53</v>
      </c>
      <c r="T92" s="131">
        <f t="shared" si="34"/>
        <v>0.47750000000000004</v>
      </c>
      <c r="U92" s="131">
        <v>0.48499999999999999</v>
      </c>
      <c r="V92" s="131">
        <v>0.56999999999999995</v>
      </c>
      <c r="W92" s="131">
        <f t="shared" si="35"/>
        <v>0.52800000000000002</v>
      </c>
      <c r="X92" s="131">
        <f>28/125</f>
        <v>0.224</v>
      </c>
      <c r="Y92" s="131">
        <f>X92</f>
        <v>0.224</v>
      </c>
      <c r="Z92" s="131">
        <f t="shared" si="27"/>
        <v>50.318332268248071</v>
      </c>
      <c r="AA92" s="105">
        <v>16</v>
      </c>
      <c r="AB92" s="105">
        <v>4.8</v>
      </c>
      <c r="AC92" s="105">
        <v>127.75</v>
      </c>
      <c r="AD92" s="105"/>
      <c r="AE92" s="105">
        <v>8.08</v>
      </c>
    </row>
    <row r="93" spans="1:31" ht="14">
      <c r="A93" s="164" t="s">
        <v>91</v>
      </c>
      <c r="B93" s="181">
        <v>1</v>
      </c>
      <c r="C93" s="181">
        <v>1</v>
      </c>
      <c r="D93" s="182" t="s">
        <v>8</v>
      </c>
      <c r="E93" s="131">
        <f t="shared" si="19"/>
        <v>1</v>
      </c>
      <c r="F93" s="131"/>
      <c r="G93" s="131">
        <f t="shared" si="33"/>
        <v>-1</v>
      </c>
      <c r="H93" s="131">
        <v>0.75</v>
      </c>
      <c r="I93" s="131">
        <v>0.75</v>
      </c>
      <c r="J93" s="131">
        <f t="shared" si="21"/>
        <v>0.19000000000000006</v>
      </c>
      <c r="K93" s="131">
        <f t="shared" si="22"/>
        <v>0.25333333333333341</v>
      </c>
      <c r="L93" s="131">
        <v>0.03</v>
      </c>
      <c r="M93" s="131">
        <v>0.2</v>
      </c>
      <c r="N93" s="131">
        <f t="shared" si="23"/>
        <v>0.10089552238805971</v>
      </c>
      <c r="O93" s="131">
        <f t="shared" si="26"/>
        <v>2.0681751877423347</v>
      </c>
      <c r="P93" s="131">
        <f t="shared" si="24"/>
        <v>0.87175661128523652</v>
      </c>
      <c r="Q93" s="131">
        <f t="shared" si="25"/>
        <v>1</v>
      </c>
      <c r="R93" s="131"/>
      <c r="S93" s="184">
        <v>0.15</v>
      </c>
      <c r="T93" s="131">
        <f>S93</f>
        <v>0.15</v>
      </c>
      <c r="U93" s="131"/>
      <c r="V93" s="131">
        <v>0.7</v>
      </c>
      <c r="W93" s="131">
        <f>(V93+K93)/2</f>
        <v>0.47666666666666668</v>
      </c>
      <c r="X93" s="131" t="s">
        <v>223</v>
      </c>
      <c r="Y93" s="131">
        <v>0.1</v>
      </c>
      <c r="Z93" s="131">
        <f t="shared" si="27"/>
        <v>3.0168971086122003</v>
      </c>
      <c r="AA93" s="74">
        <v>14.2</v>
      </c>
      <c r="AB93" s="74">
        <v>12.3</v>
      </c>
      <c r="AC93" s="74">
        <v>6.29</v>
      </c>
      <c r="AD93" s="75"/>
      <c r="AE93" s="74">
        <v>3.74</v>
      </c>
    </row>
    <row r="94" spans="1:31" ht="14">
      <c r="A94" s="164" t="s">
        <v>198</v>
      </c>
      <c r="B94" s="181">
        <v>5</v>
      </c>
      <c r="C94" s="181">
        <v>4</v>
      </c>
      <c r="D94" s="182" t="s">
        <v>3</v>
      </c>
      <c r="E94" s="131">
        <f t="shared" si="19"/>
        <v>2.166666666666667</v>
      </c>
      <c r="F94" s="131"/>
      <c r="G94" s="131">
        <f t="shared" si="33"/>
        <v>-1</v>
      </c>
      <c r="H94" s="131">
        <v>0.75</v>
      </c>
      <c r="I94" s="131">
        <v>0.75</v>
      </c>
      <c r="J94" s="131">
        <f t="shared" si="21"/>
        <v>0.64</v>
      </c>
      <c r="K94" s="131">
        <f t="shared" si="22"/>
        <v>0.85333333333333339</v>
      </c>
      <c r="L94" s="131">
        <v>0.05</v>
      </c>
      <c r="M94" s="131">
        <v>0.2</v>
      </c>
      <c r="N94" s="131">
        <f t="shared" si="23"/>
        <v>0.10149253731343284</v>
      </c>
      <c r="O94" s="131">
        <f t="shared" si="26"/>
        <v>2.138315818571253</v>
      </c>
      <c r="P94" s="131">
        <f t="shared" si="24"/>
        <v>6.5427963188529739E-2</v>
      </c>
      <c r="Q94" s="131">
        <f t="shared" si="25"/>
        <v>0.61111111111111094</v>
      </c>
      <c r="R94" s="131">
        <v>30</v>
      </c>
      <c r="S94" s="184">
        <v>0.79</v>
      </c>
      <c r="T94" s="131">
        <f>(R94/100+S94)/2</f>
        <v>0.54500000000000004</v>
      </c>
      <c r="U94" s="131">
        <v>5.6000000000000001E-2</v>
      </c>
      <c r="V94" s="131">
        <v>0.5</v>
      </c>
      <c r="W94" s="131">
        <f>(V94+U94+J94)/3</f>
        <v>0.39866666666666672</v>
      </c>
      <c r="X94" s="131" t="s">
        <v>223</v>
      </c>
      <c r="Y94" s="131">
        <v>0.3</v>
      </c>
      <c r="Z94" s="131">
        <f t="shared" si="27"/>
        <v>40.196880230272377</v>
      </c>
      <c r="AA94" s="15">
        <v>8.1999999999999993</v>
      </c>
      <c r="AB94" s="15">
        <v>5.4</v>
      </c>
      <c r="AC94" s="15">
        <v>17</v>
      </c>
      <c r="AD94" s="75"/>
      <c r="AE94" s="15">
        <v>3.3</v>
      </c>
    </row>
    <row r="95" spans="1:31" ht="14">
      <c r="A95" s="164" t="s">
        <v>92</v>
      </c>
      <c r="B95" s="181">
        <v>4</v>
      </c>
      <c r="C95" s="181">
        <v>5</v>
      </c>
      <c r="D95" s="182" t="s">
        <v>3</v>
      </c>
      <c r="E95" s="131">
        <f t="shared" si="19"/>
        <v>2.166666666666667</v>
      </c>
      <c r="F95" s="131"/>
      <c r="G95" s="131">
        <f t="shared" si="33"/>
        <v>-1</v>
      </c>
      <c r="H95" s="131">
        <v>0.75</v>
      </c>
      <c r="I95" s="131">
        <v>0.75</v>
      </c>
      <c r="J95" s="131">
        <f t="shared" si="21"/>
        <v>0.61199999999999999</v>
      </c>
      <c r="K95" s="131">
        <f t="shared" si="22"/>
        <v>0.81599999999999995</v>
      </c>
      <c r="L95" s="131">
        <v>0.57999999999999996</v>
      </c>
      <c r="M95" s="131">
        <v>0.2</v>
      </c>
      <c r="N95" s="131">
        <f t="shared" si="23"/>
        <v>0.11731343283582091</v>
      </c>
      <c r="O95" s="131">
        <f t="shared" si="26"/>
        <v>1.5329081251223311</v>
      </c>
      <c r="P95" s="131">
        <f t="shared" si="24"/>
        <v>6.8549767937109499E-2</v>
      </c>
      <c r="Q95" s="131">
        <f t="shared" si="25"/>
        <v>0.61111111111111094</v>
      </c>
      <c r="R95" s="131"/>
      <c r="S95" s="131">
        <f>1-0.771</f>
        <v>0.22899999999999998</v>
      </c>
      <c r="T95" s="131">
        <f>S95</f>
        <v>0.22899999999999998</v>
      </c>
      <c r="U95" s="131">
        <v>6.8000000000000005E-2</v>
      </c>
      <c r="V95" s="131">
        <v>0.43</v>
      </c>
      <c r="W95" s="131">
        <f>(V95+U95+J95)/3</f>
        <v>0.36999999999999994</v>
      </c>
      <c r="X95" s="131" t="s">
        <v>225</v>
      </c>
      <c r="Y95" s="131">
        <v>0.1</v>
      </c>
      <c r="Z95" s="131">
        <f t="shared" si="27"/>
        <v>38.366285972154927</v>
      </c>
      <c r="AA95" s="74">
        <v>50</v>
      </c>
      <c r="AB95" s="74">
        <v>40</v>
      </c>
      <c r="AC95" s="74">
        <v>38.61</v>
      </c>
      <c r="AD95" s="74"/>
      <c r="AE95" s="74">
        <v>4.71</v>
      </c>
    </row>
    <row r="96" spans="1:31" ht="14">
      <c r="A96" s="164" t="s">
        <v>93</v>
      </c>
      <c r="B96" s="181">
        <v>5</v>
      </c>
      <c r="C96" s="181">
        <v>5</v>
      </c>
      <c r="D96" s="182" t="s">
        <v>3</v>
      </c>
      <c r="E96" s="131">
        <f t="shared" si="19"/>
        <v>2.333333333333333</v>
      </c>
      <c r="F96" s="131">
        <v>27.9</v>
      </c>
      <c r="G96" s="131">
        <f t="shared" si="33"/>
        <v>1.1445799999999999</v>
      </c>
      <c r="H96" s="131">
        <f>(G96+I96)/2</f>
        <v>0.94728999999999997</v>
      </c>
      <c r="I96" s="131">
        <v>0.75</v>
      </c>
      <c r="J96" s="131">
        <f t="shared" si="21"/>
        <v>0.56900000000000006</v>
      </c>
      <c r="K96" s="131">
        <f t="shared" si="22"/>
        <v>0.75866666666666671</v>
      </c>
      <c r="L96" s="131">
        <v>0.06</v>
      </c>
      <c r="M96" s="131">
        <v>0.2</v>
      </c>
      <c r="N96" s="131">
        <f t="shared" si="23"/>
        <v>0.1017910447761194</v>
      </c>
      <c r="O96" s="131">
        <f t="shared" si="26"/>
        <v>2.2995940575939358</v>
      </c>
      <c r="P96" s="131">
        <f t="shared" si="24"/>
        <v>3.8731806342654107E-2</v>
      </c>
      <c r="Q96" s="131">
        <f t="shared" si="25"/>
        <v>0.55555555555555558</v>
      </c>
      <c r="R96" s="131">
        <v>33.4</v>
      </c>
      <c r="S96" s="131">
        <v>0.40200000000000002</v>
      </c>
      <c r="T96" s="131">
        <f>(R96/100+S96)/2</f>
        <v>0.36799999999999999</v>
      </c>
      <c r="U96" s="131"/>
      <c r="V96" s="131">
        <v>0.43</v>
      </c>
      <c r="W96" s="131">
        <f>(V96+K96)/2</f>
        <v>0.59433333333333338</v>
      </c>
      <c r="X96" s="131">
        <f>66/123</f>
        <v>0.53658536585365857</v>
      </c>
      <c r="Y96" s="131">
        <f>X96</f>
        <v>0.53658536585365857</v>
      </c>
      <c r="Z96" s="131">
        <f t="shared" si="27"/>
        <v>67.902849062416806</v>
      </c>
      <c r="AA96" s="15" t="s">
        <v>223</v>
      </c>
      <c r="AB96" s="15">
        <v>2</v>
      </c>
      <c r="AC96" s="15">
        <v>0.1</v>
      </c>
      <c r="AD96" s="75"/>
      <c r="AE96" s="108">
        <v>8.1</v>
      </c>
    </row>
    <row r="97" spans="1:31" ht="14">
      <c r="A97" s="164" t="s">
        <v>94</v>
      </c>
      <c r="B97" s="181">
        <v>7</v>
      </c>
      <c r="C97" s="181">
        <v>6</v>
      </c>
      <c r="D97" s="182" t="s">
        <v>4</v>
      </c>
      <c r="E97" s="131">
        <f t="shared" si="19"/>
        <v>2.833333333333333</v>
      </c>
      <c r="F97" s="131">
        <v>30.3</v>
      </c>
      <c r="G97" s="131">
        <f t="shared" si="33"/>
        <v>1.3290600000000001</v>
      </c>
      <c r="H97" s="131">
        <f>(G97+I97)/2</f>
        <v>0.99953000000000003</v>
      </c>
      <c r="I97" s="131">
        <v>0.67</v>
      </c>
      <c r="J97" s="131">
        <f t="shared" si="21"/>
        <v>0.79</v>
      </c>
      <c r="K97" s="131">
        <f t="shared" si="22"/>
        <v>1.0533333333333335</v>
      </c>
      <c r="L97" s="131">
        <v>0.05</v>
      </c>
      <c r="M97" s="131">
        <v>0.2</v>
      </c>
      <c r="N97" s="131">
        <f t="shared" si="23"/>
        <v>0.10149253731343284</v>
      </c>
      <c r="O97" s="131">
        <f t="shared" si="26"/>
        <v>1.3943879957562619</v>
      </c>
      <c r="P97" s="131">
        <f t="shared" si="24"/>
        <v>5.8751454960341279E-3</v>
      </c>
      <c r="Q97" s="131">
        <f t="shared" si="25"/>
        <v>0.38888888888888895</v>
      </c>
      <c r="R97" s="131">
        <v>36.700000000000003</v>
      </c>
      <c r="S97" s="131">
        <v>0.503</v>
      </c>
      <c r="T97" s="131">
        <f>(R97/100+S97)/2</f>
        <v>0.43500000000000005</v>
      </c>
      <c r="U97" s="131"/>
      <c r="V97" s="131">
        <v>0.17</v>
      </c>
      <c r="W97" s="131">
        <f>(V97+K97)/2</f>
        <v>0.61166666666666669</v>
      </c>
      <c r="X97" s="131">
        <f>-28/146</f>
        <v>-0.19178082191780821</v>
      </c>
      <c r="Y97" s="131">
        <f>X97</f>
        <v>-0.19178082191780821</v>
      </c>
      <c r="Z97" s="131">
        <f t="shared" si="27"/>
        <v>447.64848832685362</v>
      </c>
      <c r="AA97" s="15"/>
      <c r="AB97" s="15">
        <v>45.3</v>
      </c>
      <c r="AC97" s="15"/>
      <c r="AD97" s="75"/>
      <c r="AE97" s="108">
        <v>3.6</v>
      </c>
    </row>
    <row r="98" spans="1:31" ht="14">
      <c r="A98" s="164" t="s">
        <v>95</v>
      </c>
      <c r="B98" s="181">
        <v>2</v>
      </c>
      <c r="C98" s="181">
        <v>2</v>
      </c>
      <c r="D98" s="182" t="s">
        <v>8</v>
      </c>
      <c r="E98" s="131">
        <f t="shared" si="19"/>
        <v>1.3333333333333333</v>
      </c>
      <c r="F98" s="131">
        <v>27.6</v>
      </c>
      <c r="G98" s="131">
        <f t="shared" si="33"/>
        <v>1.1215199999999999</v>
      </c>
      <c r="H98" s="131">
        <f>(G98+I98)/2</f>
        <v>0.93575999999999993</v>
      </c>
      <c r="I98" s="131">
        <v>0.75</v>
      </c>
      <c r="J98" s="131">
        <f t="shared" si="21"/>
        <v>0.29500000000000004</v>
      </c>
      <c r="K98" s="131">
        <f t="shared" si="22"/>
        <v>0.39333333333333337</v>
      </c>
      <c r="L98" s="131">
        <v>0.09</v>
      </c>
      <c r="M98" s="131">
        <v>0.2</v>
      </c>
      <c r="N98" s="131">
        <f t="shared" si="23"/>
        <v>0.10268656716417911</v>
      </c>
      <c r="O98" s="131">
        <f t="shared" si="26"/>
        <v>1.5340970433511678</v>
      </c>
      <c r="P98" s="131">
        <f t="shared" si="24"/>
        <v>0.38982552134093817</v>
      </c>
      <c r="Q98" s="131">
        <f t="shared" si="25"/>
        <v>0.88888888888888895</v>
      </c>
      <c r="R98" s="131">
        <v>35.200000000000003</v>
      </c>
      <c r="S98" s="131">
        <f>1-0.769</f>
        <v>0.23099999999999998</v>
      </c>
      <c r="T98" s="131">
        <f>(R98/100+S98)/2</f>
        <v>0.29149999999999998</v>
      </c>
      <c r="U98" s="131">
        <v>0.44800000000000001</v>
      </c>
      <c r="V98" s="131">
        <v>0.6</v>
      </c>
      <c r="W98" s="131">
        <f>(V98+U98+J98)/3</f>
        <v>0.44766666666666666</v>
      </c>
      <c r="X98" s="131">
        <f>-25/97</f>
        <v>-0.25773195876288657</v>
      </c>
      <c r="Y98" s="131">
        <f>X98</f>
        <v>-0.25773195876288657</v>
      </c>
      <c r="Z98" s="131">
        <f t="shared" si="27"/>
        <v>6.7466080490400309</v>
      </c>
      <c r="AA98" s="57" t="s">
        <v>223</v>
      </c>
      <c r="AB98" s="57">
        <v>2.2000000000000002</v>
      </c>
      <c r="AC98" s="57">
        <v>3.58</v>
      </c>
      <c r="AD98" s="57"/>
      <c r="AE98" s="57">
        <v>3.88</v>
      </c>
    </row>
    <row r="99" spans="1:31" ht="14">
      <c r="A99" s="164" t="s">
        <v>96</v>
      </c>
      <c r="B99" s="181">
        <v>5</v>
      </c>
      <c r="C99" s="181">
        <v>3</v>
      </c>
      <c r="D99" s="182" t="s">
        <v>3</v>
      </c>
      <c r="E99" s="131">
        <f t="shared" si="19"/>
        <v>2</v>
      </c>
      <c r="F99" s="131"/>
      <c r="G99" s="131">
        <f t="shared" si="33"/>
        <v>-1</v>
      </c>
      <c r="H99" s="131">
        <v>0.67</v>
      </c>
      <c r="I99" s="131">
        <v>0.75</v>
      </c>
      <c r="J99" s="131">
        <f t="shared" si="21"/>
        <v>0.41799999999999993</v>
      </c>
      <c r="K99" s="131">
        <f t="shared" si="22"/>
        <v>0.55733333333333324</v>
      </c>
      <c r="L99" s="131">
        <v>0.14000000000000001</v>
      </c>
      <c r="M99" s="131">
        <v>0.2</v>
      </c>
      <c r="N99" s="131">
        <f t="shared" si="23"/>
        <v>0.10417910447761194</v>
      </c>
      <c r="O99" s="131">
        <f t="shared" si="26"/>
        <v>2.7265528483336641</v>
      </c>
      <c r="P99" s="131">
        <f t="shared" si="24"/>
        <v>0.18340819627917707</v>
      </c>
      <c r="Q99" s="131">
        <f t="shared" si="25"/>
        <v>0.66666666666666674</v>
      </c>
      <c r="R99" s="131"/>
      <c r="S99" s="184">
        <v>0.53</v>
      </c>
      <c r="T99" s="131">
        <f>S99</f>
        <v>0.53</v>
      </c>
      <c r="U99" s="131">
        <v>1.371</v>
      </c>
      <c r="V99" s="131">
        <v>0.85</v>
      </c>
      <c r="W99" s="131">
        <f>(V99+U99+J99)/3</f>
        <v>0.87966666666666671</v>
      </c>
      <c r="X99" s="131">
        <f>13/137</f>
        <v>9.4890510948905105E-2</v>
      </c>
      <c r="Y99" s="131">
        <f>X99</f>
        <v>9.4890510948905105E-2</v>
      </c>
      <c r="Z99" s="131">
        <f t="shared" si="27"/>
        <v>14.339599065663961</v>
      </c>
      <c r="AA99" s="15">
        <v>33.700000000000003</v>
      </c>
      <c r="AB99" s="15">
        <v>8.6</v>
      </c>
      <c r="AC99" s="15">
        <v>5.4</v>
      </c>
      <c r="AD99" s="75"/>
      <c r="AE99" s="15">
        <v>4.3099999999999996</v>
      </c>
    </row>
    <row r="100" spans="1:31" ht="14">
      <c r="A100" s="164" t="s">
        <v>97</v>
      </c>
      <c r="B100" s="181">
        <v>3</v>
      </c>
      <c r="C100" s="181">
        <v>3</v>
      </c>
      <c r="D100" s="182" t="s">
        <v>3</v>
      </c>
      <c r="E100" s="131">
        <f t="shared" si="19"/>
        <v>1.6666666666666665</v>
      </c>
      <c r="F100" s="131">
        <v>39.4</v>
      </c>
      <c r="G100" s="131">
        <f t="shared" si="33"/>
        <v>2.0285466666666663</v>
      </c>
      <c r="H100" s="131">
        <f>(G100+I100)/2</f>
        <v>1.3892733333333331</v>
      </c>
      <c r="I100" s="131">
        <v>0.75</v>
      </c>
      <c r="J100" s="131">
        <f t="shared" si="21"/>
        <v>0.39800000000000002</v>
      </c>
      <c r="K100" s="131">
        <f t="shared" si="22"/>
        <v>0.53066666666666673</v>
      </c>
      <c r="L100" s="131">
        <v>0.04</v>
      </c>
      <c r="M100" s="131">
        <v>0.2</v>
      </c>
      <c r="N100" s="131">
        <f t="shared" si="23"/>
        <v>0.10119402985074627</v>
      </c>
      <c r="O100" s="131">
        <f t="shared" si="26"/>
        <v>3.5382974009699137</v>
      </c>
      <c r="P100" s="131">
        <f t="shared" ref="P100:P131" si="36">2.63/Z100</f>
        <v>9.0575377877220906E-2</v>
      </c>
      <c r="Q100" s="131">
        <f t="shared" si="25"/>
        <v>0.77777777777777779</v>
      </c>
      <c r="R100" s="131">
        <v>63.2</v>
      </c>
      <c r="S100" s="131">
        <v>0.57299999999999995</v>
      </c>
      <c r="T100" s="131">
        <f>(R100/100+S100)/2</f>
        <v>0.60250000000000004</v>
      </c>
      <c r="U100" s="131"/>
      <c r="V100" s="131">
        <v>0.48</v>
      </c>
      <c r="W100" s="131">
        <f>(V100+K100)/2</f>
        <v>0.50533333333333341</v>
      </c>
      <c r="X100" s="131">
        <f>46/89</f>
        <v>0.5168539325842697</v>
      </c>
      <c r="Y100" s="131">
        <f>X100</f>
        <v>0.5168539325842697</v>
      </c>
      <c r="Z100" s="131">
        <f t="shared" si="27"/>
        <v>29.036588768805206</v>
      </c>
      <c r="AA100" s="15">
        <v>26</v>
      </c>
      <c r="AB100" s="15">
        <v>2.5</v>
      </c>
      <c r="AC100" s="15">
        <v>6.5</v>
      </c>
      <c r="AD100" s="75"/>
      <c r="AE100" s="15">
        <v>2.1</v>
      </c>
    </row>
    <row r="101" spans="1:31" ht="14">
      <c r="A101" s="164" t="s">
        <v>98</v>
      </c>
      <c r="B101" s="181">
        <v>3</v>
      </c>
      <c r="C101" s="181">
        <v>4</v>
      </c>
      <c r="D101" s="182" t="s">
        <v>3</v>
      </c>
      <c r="E101" s="131">
        <f t="shared" si="19"/>
        <v>1.8333333333333335</v>
      </c>
      <c r="F101" s="131">
        <v>30.1</v>
      </c>
      <c r="G101" s="131">
        <f t="shared" si="33"/>
        <v>1.3136866666666669</v>
      </c>
      <c r="H101" s="131">
        <f>(G101+I101)/2</f>
        <v>1.0318433333333334</v>
      </c>
      <c r="I101" s="131">
        <v>0.75</v>
      </c>
      <c r="J101" s="131">
        <f t="shared" si="21"/>
        <v>0.49299999999999999</v>
      </c>
      <c r="K101" s="131">
        <f t="shared" si="22"/>
        <v>0.65733333333333333</v>
      </c>
      <c r="L101" s="131">
        <v>0.08</v>
      </c>
      <c r="M101" s="131">
        <v>0.2</v>
      </c>
      <c r="N101" s="131">
        <f t="shared" si="23"/>
        <v>0.10238805970149255</v>
      </c>
      <c r="O101" s="131">
        <f t="shared" ref="O101:O132" si="37">EXP(Q101*(Y101+W101+T101))</f>
        <v>2.252992334877058</v>
      </c>
      <c r="P101" s="131">
        <f t="shared" si="36"/>
        <v>9.85145047317533E-2</v>
      </c>
      <c r="Q101" s="131">
        <f t="shared" si="25"/>
        <v>0.7222222222222221</v>
      </c>
      <c r="R101" s="131">
        <v>38.200000000000003</v>
      </c>
      <c r="S101" s="131">
        <v>0.7</v>
      </c>
      <c r="T101" s="131">
        <f>(R101/100+S101)/2</f>
        <v>0.54099999999999993</v>
      </c>
      <c r="U101" s="131"/>
      <c r="V101" s="131">
        <v>0.31</v>
      </c>
      <c r="W101" s="131">
        <f>(V101+K101)/2</f>
        <v>0.48366666666666669</v>
      </c>
      <c r="X101" s="131" t="s">
        <v>223</v>
      </c>
      <c r="Y101" s="131">
        <v>0.1</v>
      </c>
      <c r="Z101" s="131">
        <f t="shared" ref="Z101:Z132" si="38">EXP(E101*(H101+K101+N101))</f>
        <v>26.69657637889231</v>
      </c>
      <c r="AA101" s="49" t="s">
        <v>223</v>
      </c>
      <c r="AB101" s="49">
        <v>13</v>
      </c>
      <c r="AC101" s="49">
        <v>2</v>
      </c>
      <c r="AD101" s="49"/>
      <c r="AE101" s="49">
        <v>7.05</v>
      </c>
    </row>
    <row r="102" spans="1:31" ht="14">
      <c r="A102" s="164" t="s">
        <v>99</v>
      </c>
      <c r="B102" s="181">
        <v>4</v>
      </c>
      <c r="C102" s="181">
        <v>3</v>
      </c>
      <c r="D102" s="182" t="s">
        <v>3</v>
      </c>
      <c r="E102" s="131">
        <f t="shared" si="19"/>
        <v>1.8333333333333335</v>
      </c>
      <c r="F102" s="131" t="s">
        <v>225</v>
      </c>
      <c r="G102" s="131" t="s">
        <v>225</v>
      </c>
      <c r="H102" s="131">
        <v>1</v>
      </c>
      <c r="I102" s="131">
        <v>1</v>
      </c>
      <c r="J102" s="131">
        <f t="shared" si="21"/>
        <v>0.48199999999999998</v>
      </c>
      <c r="K102" s="131">
        <f t="shared" si="22"/>
        <v>0.64266666666666661</v>
      </c>
      <c r="L102" s="131">
        <v>0.48</v>
      </c>
      <c r="M102" s="131">
        <v>0.2</v>
      </c>
      <c r="N102" s="131">
        <f t="shared" si="23"/>
        <v>0.11432835820895523</v>
      </c>
      <c r="O102" s="131">
        <f t="shared" si="37"/>
        <v>2.1434698173104154</v>
      </c>
      <c r="P102" s="131">
        <f t="shared" si="36"/>
        <v>0.10496023661901799</v>
      </c>
      <c r="Q102" s="131">
        <f t="shared" si="25"/>
        <v>0.7222222222222221</v>
      </c>
      <c r="R102" s="131" t="s">
        <v>225</v>
      </c>
      <c r="S102" s="131">
        <f>1-0.755</f>
        <v>0.245</v>
      </c>
      <c r="T102" s="131">
        <f>S102</f>
        <v>0.245</v>
      </c>
      <c r="U102" s="131">
        <v>0.47</v>
      </c>
      <c r="V102" s="131">
        <v>0.57999999999999996</v>
      </c>
      <c r="W102" s="131">
        <f>(V102+U102+J102)/3</f>
        <v>0.5106666666666666</v>
      </c>
      <c r="X102" s="131" t="s">
        <v>225</v>
      </c>
      <c r="Y102" s="131">
        <v>0.3</v>
      </c>
      <c r="Z102" s="131">
        <f t="shared" si="38"/>
        <v>25.057108146071617</v>
      </c>
      <c r="AA102" s="15">
        <v>28</v>
      </c>
      <c r="AB102" s="15"/>
      <c r="AC102" s="15">
        <v>4.3</v>
      </c>
      <c r="AD102" s="75"/>
      <c r="AE102" s="15">
        <v>5.82</v>
      </c>
    </row>
    <row r="103" spans="1:31" ht="14">
      <c r="A103" s="164" t="s">
        <v>100</v>
      </c>
      <c r="B103" s="181">
        <v>1</v>
      </c>
      <c r="C103" s="181">
        <v>1</v>
      </c>
      <c r="D103" s="182" t="s">
        <v>8</v>
      </c>
      <c r="E103" s="131">
        <f t="shared" si="19"/>
        <v>1</v>
      </c>
      <c r="F103" s="131"/>
      <c r="G103" s="131">
        <f t="shared" ref="G103:G166" si="39">1.153*F103/15-1</f>
        <v>-1</v>
      </c>
      <c r="H103" s="131">
        <v>0.67</v>
      </c>
      <c r="I103" s="131">
        <v>0.67</v>
      </c>
      <c r="J103" s="131">
        <f t="shared" si="21"/>
        <v>0.19000000000000006</v>
      </c>
      <c r="K103" s="131">
        <f t="shared" si="22"/>
        <v>0.25333333333333341</v>
      </c>
      <c r="L103" s="131">
        <v>0</v>
      </c>
      <c r="M103" s="131">
        <v>0.2</v>
      </c>
      <c r="N103" s="131">
        <f t="shared" si="23"/>
        <v>0.1</v>
      </c>
      <c r="O103" s="131">
        <f t="shared" si="37"/>
        <v>2.3647366594318049</v>
      </c>
      <c r="P103" s="131">
        <f t="shared" si="36"/>
        <v>0.94520873985652087</v>
      </c>
      <c r="Q103" s="131">
        <f t="shared" si="25"/>
        <v>1</v>
      </c>
      <c r="R103" s="131"/>
      <c r="S103" s="131">
        <f>1-0.891</f>
        <v>0.10899999999999999</v>
      </c>
      <c r="T103" s="131">
        <f>S103</f>
        <v>0.10899999999999999</v>
      </c>
      <c r="U103" s="131"/>
      <c r="V103" s="131">
        <v>1.05</v>
      </c>
      <c r="W103" s="131">
        <f>(V103+K103)/2</f>
        <v>0.65166666666666673</v>
      </c>
      <c r="X103" s="131" t="s">
        <v>223</v>
      </c>
      <c r="Y103" s="131">
        <v>0.1</v>
      </c>
      <c r="Z103" s="131">
        <f t="shared" si="38"/>
        <v>2.7824541702811847</v>
      </c>
      <c r="AA103" s="15">
        <v>49</v>
      </c>
      <c r="AB103" s="15">
        <v>45</v>
      </c>
      <c r="AC103" s="15">
        <v>2.194</v>
      </c>
      <c r="AD103" s="75"/>
      <c r="AE103" s="15">
        <v>6.02</v>
      </c>
    </row>
    <row r="104" spans="1:31" ht="14">
      <c r="A104" s="164" t="s">
        <v>101</v>
      </c>
      <c r="B104" s="181">
        <v>1</v>
      </c>
      <c r="C104" s="181">
        <v>1</v>
      </c>
      <c r="D104" s="182" t="s">
        <v>8</v>
      </c>
      <c r="E104" s="131">
        <f t="shared" si="19"/>
        <v>1</v>
      </c>
      <c r="F104" s="131">
        <v>29.1</v>
      </c>
      <c r="G104" s="131">
        <f t="shared" si="39"/>
        <v>1.2368200000000003</v>
      </c>
      <c r="H104" s="131">
        <f t="shared" ref="H104:H109" si="40">(G104+I104)/2</f>
        <v>0.99341000000000013</v>
      </c>
      <c r="I104" s="131">
        <v>0.75</v>
      </c>
      <c r="J104" s="131">
        <f t="shared" si="21"/>
        <v>0.27600000000000002</v>
      </c>
      <c r="K104" s="131">
        <f t="shared" si="22"/>
        <v>0.36800000000000005</v>
      </c>
      <c r="L104" s="131">
        <v>0.1</v>
      </c>
      <c r="M104" s="131">
        <v>0.2</v>
      </c>
      <c r="N104" s="131">
        <f t="shared" si="23"/>
        <v>0.10298507462686568</v>
      </c>
      <c r="O104" s="131">
        <f t="shared" si="37"/>
        <v>1.6658463845373261</v>
      </c>
      <c r="P104" s="131">
        <f t="shared" si="36"/>
        <v>0.60810286319626161</v>
      </c>
      <c r="Q104" s="131">
        <f t="shared" si="25"/>
        <v>1</v>
      </c>
      <c r="R104" s="131">
        <v>35.5</v>
      </c>
      <c r="S104" s="131">
        <f>1-0.783</f>
        <v>0.21699999999999997</v>
      </c>
      <c r="T104" s="131">
        <f t="shared" ref="T104:T109" si="41">(R104/100+S104)/2</f>
        <v>0.28599999999999998</v>
      </c>
      <c r="U104" s="131">
        <v>0.377</v>
      </c>
      <c r="V104" s="131">
        <v>0.42</v>
      </c>
      <c r="W104" s="131">
        <f>(V104+U104+J104)/3</f>
        <v>0.35766666666666663</v>
      </c>
      <c r="X104" s="131">
        <f>-14/105</f>
        <v>-0.13333333333333333</v>
      </c>
      <c r="Y104" s="131">
        <f>X104</f>
        <v>-0.13333333333333333</v>
      </c>
      <c r="Z104" s="131">
        <f t="shared" si="38"/>
        <v>4.3249261912308787</v>
      </c>
      <c r="AA104" s="74">
        <v>80</v>
      </c>
      <c r="AB104" s="74">
        <v>85</v>
      </c>
      <c r="AC104" s="74">
        <v>3.48</v>
      </c>
      <c r="AD104" s="74"/>
      <c r="AE104" s="74">
        <v>5.07</v>
      </c>
    </row>
    <row r="105" spans="1:31" ht="14">
      <c r="A105" s="164" t="s">
        <v>102</v>
      </c>
      <c r="B105" s="181">
        <v>1</v>
      </c>
      <c r="C105" s="181">
        <v>1</v>
      </c>
      <c r="D105" s="182" t="s">
        <v>8</v>
      </c>
      <c r="E105" s="131">
        <f t="shared" si="19"/>
        <v>1</v>
      </c>
      <c r="F105" s="131">
        <v>23.8</v>
      </c>
      <c r="G105" s="131">
        <f t="shared" si="39"/>
        <v>0.82942666666666676</v>
      </c>
      <c r="H105" s="131">
        <f t="shared" si="40"/>
        <v>0.74971333333333345</v>
      </c>
      <c r="I105" s="131">
        <v>0.67</v>
      </c>
      <c r="J105" s="131">
        <f t="shared" si="21"/>
        <v>0.11199999999999988</v>
      </c>
      <c r="K105" s="131">
        <f t="shared" si="22"/>
        <v>0.14933333333333318</v>
      </c>
      <c r="L105" s="131">
        <v>0.2</v>
      </c>
      <c r="M105" s="131">
        <v>0.2</v>
      </c>
      <c r="N105" s="131">
        <f t="shared" si="23"/>
        <v>0.10597014925373135</v>
      </c>
      <c r="O105" s="131">
        <f t="shared" si="37"/>
        <v>1.6716599405601147</v>
      </c>
      <c r="P105" s="131">
        <f t="shared" si="36"/>
        <v>0.96268120102800314</v>
      </c>
      <c r="Q105" s="131">
        <f t="shared" si="25"/>
        <v>1</v>
      </c>
      <c r="R105" s="131">
        <v>26</v>
      </c>
      <c r="S105" s="131">
        <f>1-0.852</f>
        <v>0.14800000000000002</v>
      </c>
      <c r="T105" s="131">
        <f t="shared" si="41"/>
        <v>0.20400000000000001</v>
      </c>
      <c r="U105" s="131">
        <v>0.20399999999999999</v>
      </c>
      <c r="V105" s="131">
        <v>0.64</v>
      </c>
      <c r="W105" s="131">
        <f>(V105+U105+J105)/3</f>
        <v>0.3186666666666666</v>
      </c>
      <c r="X105" s="131">
        <f>-1/113</f>
        <v>-8.8495575221238937E-3</v>
      </c>
      <c r="Y105" s="131">
        <f>X105</f>
        <v>-8.8495575221238937E-3</v>
      </c>
      <c r="Z105" s="131">
        <f t="shared" si="38"/>
        <v>2.7319532127474218</v>
      </c>
      <c r="AA105" s="99">
        <v>33</v>
      </c>
      <c r="AB105" s="99">
        <v>30</v>
      </c>
      <c r="AC105" s="99">
        <v>6.4</v>
      </c>
      <c r="AD105" s="99"/>
      <c r="AE105" s="99">
        <v>5.18</v>
      </c>
    </row>
    <row r="106" spans="1:31" ht="14">
      <c r="A106" s="164" t="s">
        <v>103</v>
      </c>
      <c r="B106" s="181">
        <v>3</v>
      </c>
      <c r="C106" s="181">
        <v>3</v>
      </c>
      <c r="D106" s="182" t="s">
        <v>3</v>
      </c>
      <c r="E106" s="131">
        <f t="shared" si="19"/>
        <v>1.6666666666666665</v>
      </c>
      <c r="F106" s="131">
        <v>34.5</v>
      </c>
      <c r="G106" s="131">
        <f t="shared" si="39"/>
        <v>1.6518999999999999</v>
      </c>
      <c r="H106" s="131">
        <f t="shared" si="40"/>
        <v>1.20095</v>
      </c>
      <c r="I106" s="131">
        <v>0.75</v>
      </c>
      <c r="J106" s="131">
        <f t="shared" si="21"/>
        <v>0.38400000000000001</v>
      </c>
      <c r="K106" s="131">
        <f t="shared" si="22"/>
        <v>0.51200000000000001</v>
      </c>
      <c r="L106" s="131">
        <v>0.06</v>
      </c>
      <c r="M106" s="131">
        <v>0.2</v>
      </c>
      <c r="N106" s="131">
        <f t="shared" si="23"/>
        <v>0.1017910447761194</v>
      </c>
      <c r="O106" s="131">
        <f t="shared" si="37"/>
        <v>2.2459812589174932</v>
      </c>
      <c r="P106" s="131">
        <f t="shared" si="36"/>
        <v>0.12776219919075582</v>
      </c>
      <c r="Q106" s="131">
        <f t="shared" si="25"/>
        <v>0.77777777777777779</v>
      </c>
      <c r="R106" s="131">
        <v>44.2</v>
      </c>
      <c r="S106" s="131">
        <f>0.299</f>
        <v>0.29899999999999999</v>
      </c>
      <c r="T106" s="131">
        <f t="shared" si="41"/>
        <v>0.3705</v>
      </c>
      <c r="U106" s="131">
        <v>0.28199999999999997</v>
      </c>
      <c r="V106" s="131">
        <v>0.9</v>
      </c>
      <c r="W106" s="131">
        <f>(V106+U106+J106)/3</f>
        <v>0.52199999999999991</v>
      </c>
      <c r="X106" s="131">
        <f>17/115</f>
        <v>0.14782608695652175</v>
      </c>
      <c r="Y106" s="131">
        <f>X106</f>
        <v>0.14782608695652175</v>
      </c>
      <c r="Z106" s="131">
        <f t="shared" si="38"/>
        <v>20.58511842045916</v>
      </c>
      <c r="AA106" s="70" t="s">
        <v>223</v>
      </c>
      <c r="AB106" s="70">
        <v>2.8</v>
      </c>
      <c r="AC106" s="70">
        <v>3.5999999999999997E-2</v>
      </c>
      <c r="AD106" s="70"/>
      <c r="AE106" s="111">
        <v>8.1</v>
      </c>
    </row>
    <row r="107" spans="1:31" ht="14">
      <c r="A107" s="164" t="s">
        <v>104</v>
      </c>
      <c r="B107" s="181">
        <v>6</v>
      </c>
      <c r="C107" s="181">
        <v>4</v>
      </c>
      <c r="D107" s="182" t="s">
        <v>3</v>
      </c>
      <c r="E107" s="131">
        <f t="shared" si="19"/>
        <v>2.333333333333333</v>
      </c>
      <c r="F107" s="131">
        <v>41.5</v>
      </c>
      <c r="G107" s="131">
        <f t="shared" si="39"/>
        <v>2.1899666666666664</v>
      </c>
      <c r="H107" s="131">
        <f t="shared" si="40"/>
        <v>1.4299833333333332</v>
      </c>
      <c r="I107" s="131">
        <v>0.67</v>
      </c>
      <c r="J107" s="131">
        <f t="shared" si="21"/>
        <v>0.60599999999999998</v>
      </c>
      <c r="K107" s="131">
        <f t="shared" si="22"/>
        <v>0.80799999999999994</v>
      </c>
      <c r="L107" s="131">
        <v>0.08</v>
      </c>
      <c r="M107" s="131">
        <v>0.2</v>
      </c>
      <c r="N107" s="131">
        <f t="shared" si="23"/>
        <v>0.10238805970149255</v>
      </c>
      <c r="O107" s="131">
        <f t="shared" si="37"/>
        <v>1.9002266719380652</v>
      </c>
      <c r="P107" s="131">
        <f t="shared" si="36"/>
        <v>1.1177161464336378E-2</v>
      </c>
      <c r="Q107" s="131">
        <f t="shared" si="25"/>
        <v>0.55555555555555558</v>
      </c>
      <c r="R107" s="131">
        <v>47.5</v>
      </c>
      <c r="S107" s="131">
        <v>0.56499999999999995</v>
      </c>
      <c r="T107" s="131">
        <f t="shared" si="41"/>
        <v>0.52</v>
      </c>
      <c r="U107" s="131"/>
      <c r="V107" s="131">
        <v>0.67</v>
      </c>
      <c r="W107" s="131">
        <f>(V107+K107)/2</f>
        <v>0.73899999999999999</v>
      </c>
      <c r="X107" s="131">
        <f>-12/116</f>
        <v>-0.10344827586206896</v>
      </c>
      <c r="Y107" s="131">
        <f>X107</f>
        <v>-0.10344827586206896</v>
      </c>
      <c r="Z107" s="131">
        <f t="shared" si="38"/>
        <v>235.30124427312737</v>
      </c>
      <c r="AA107" s="49">
        <v>4</v>
      </c>
      <c r="AB107" s="49">
        <v>15.6</v>
      </c>
      <c r="AC107" s="49">
        <v>3.1920000000000002</v>
      </c>
      <c r="AD107" s="49"/>
      <c r="AE107" s="49">
        <v>7.24</v>
      </c>
    </row>
    <row r="108" spans="1:31" ht="14">
      <c r="A108" s="164" t="s">
        <v>105</v>
      </c>
      <c r="B108" s="181">
        <v>3</v>
      </c>
      <c r="C108" s="181">
        <v>4</v>
      </c>
      <c r="D108" s="182" t="s">
        <v>3</v>
      </c>
      <c r="E108" s="131">
        <f t="shared" si="19"/>
        <v>1.8333333333333335</v>
      </c>
      <c r="F108" s="131">
        <v>32</v>
      </c>
      <c r="G108" s="131">
        <f t="shared" si="39"/>
        <v>1.4597333333333333</v>
      </c>
      <c r="H108" s="131">
        <f t="shared" si="40"/>
        <v>1.1048666666666667</v>
      </c>
      <c r="I108" s="131">
        <v>0.75</v>
      </c>
      <c r="J108" s="131">
        <f t="shared" si="21"/>
        <v>0.41600000000000004</v>
      </c>
      <c r="K108" s="131">
        <f t="shared" si="22"/>
        <v>0.55466666666666675</v>
      </c>
      <c r="L108" s="131">
        <v>0.06</v>
      </c>
      <c r="M108" s="183">
        <v>0.2</v>
      </c>
      <c r="N108" s="131">
        <f t="shared" si="23"/>
        <v>0.1017910447761194</v>
      </c>
      <c r="O108" s="131">
        <f t="shared" si="37"/>
        <v>2.1252291452669851</v>
      </c>
      <c r="P108" s="131">
        <f t="shared" si="36"/>
        <v>0.10413044915836607</v>
      </c>
      <c r="Q108" s="131">
        <f t="shared" si="25"/>
        <v>0.7222222222222221</v>
      </c>
      <c r="R108" s="131">
        <v>39</v>
      </c>
      <c r="S108" s="131">
        <f>1-0.385</f>
        <v>0.61499999999999999</v>
      </c>
      <c r="T108" s="131">
        <f t="shared" si="41"/>
        <v>0.50249999999999995</v>
      </c>
      <c r="U108" s="131">
        <v>0.36799999999999999</v>
      </c>
      <c r="V108" s="131">
        <f>1-0.46</f>
        <v>0.54</v>
      </c>
      <c r="W108" s="131">
        <f>(V108+U108+J108)/3</f>
        <v>0.44133333333333336</v>
      </c>
      <c r="X108" s="131" t="s">
        <v>225</v>
      </c>
      <c r="Y108" s="131">
        <v>0.1</v>
      </c>
      <c r="Z108" s="131">
        <f t="shared" si="38"/>
        <v>25.256781481852467</v>
      </c>
      <c r="AA108" s="70" t="s">
        <v>223</v>
      </c>
      <c r="AB108" s="70">
        <v>6</v>
      </c>
      <c r="AC108" s="70">
        <v>0.51100000000000001</v>
      </c>
      <c r="AD108" s="70"/>
      <c r="AE108" s="70">
        <v>8.8800000000000008</v>
      </c>
    </row>
    <row r="109" spans="1:31" ht="14">
      <c r="A109" s="164" t="s">
        <v>106</v>
      </c>
      <c r="B109" s="181">
        <v>4</v>
      </c>
      <c r="C109" s="181">
        <v>4</v>
      </c>
      <c r="D109" s="182" t="s">
        <v>3</v>
      </c>
      <c r="E109" s="131">
        <f t="shared" si="19"/>
        <v>2</v>
      </c>
      <c r="F109" s="131">
        <v>34.700000000000003</v>
      </c>
      <c r="G109" s="131">
        <f t="shared" si="39"/>
        <v>1.6672733333333336</v>
      </c>
      <c r="H109" s="131">
        <f t="shared" si="40"/>
        <v>1.2086366666666668</v>
      </c>
      <c r="I109" s="131">
        <v>0.75</v>
      </c>
      <c r="J109" s="131">
        <f t="shared" si="21"/>
        <v>0.38100000000000001</v>
      </c>
      <c r="K109" s="131">
        <f t="shared" si="22"/>
        <v>0.50800000000000001</v>
      </c>
      <c r="L109" s="131">
        <v>0.73</v>
      </c>
      <c r="M109" s="131">
        <v>0.4</v>
      </c>
      <c r="N109" s="131">
        <f t="shared" si="23"/>
        <v>0.22179104477611941</v>
      </c>
      <c r="O109" s="131">
        <f t="shared" si="37"/>
        <v>1.7512122172913127</v>
      </c>
      <c r="P109" s="131">
        <f t="shared" si="36"/>
        <v>5.4482726271653917E-2</v>
      </c>
      <c r="Q109" s="131">
        <f t="shared" si="25"/>
        <v>0.66666666666666674</v>
      </c>
      <c r="R109" s="131">
        <v>46.2</v>
      </c>
      <c r="S109" s="131">
        <f>1-0.744</f>
        <v>0.25600000000000001</v>
      </c>
      <c r="T109" s="131">
        <f t="shared" si="41"/>
        <v>0.35899999999999999</v>
      </c>
      <c r="U109" s="131">
        <v>0.53500000000000003</v>
      </c>
      <c r="V109" s="131">
        <v>0.48</v>
      </c>
      <c r="W109" s="131">
        <f>(V109+U109+J109)/3</f>
        <v>0.46533333333333338</v>
      </c>
      <c r="X109" s="131">
        <f>2/124</f>
        <v>1.6129032258064516E-2</v>
      </c>
      <c r="Y109" s="131">
        <f>X109</f>
        <v>1.6129032258064516E-2</v>
      </c>
      <c r="Z109" s="131">
        <f t="shared" si="38"/>
        <v>48.272180560250838</v>
      </c>
      <c r="AA109" s="15">
        <v>30.9</v>
      </c>
      <c r="AB109" s="15">
        <v>29.1</v>
      </c>
      <c r="AC109" s="15">
        <v>2.1</v>
      </c>
      <c r="AD109" s="75"/>
      <c r="AE109" s="15">
        <v>6.16</v>
      </c>
    </row>
    <row r="110" spans="1:31" ht="14">
      <c r="A110" s="164" t="s">
        <v>107</v>
      </c>
      <c r="B110" s="181">
        <v>3</v>
      </c>
      <c r="C110" s="181">
        <v>4</v>
      </c>
      <c r="D110" s="182" t="s">
        <v>3</v>
      </c>
      <c r="E110" s="131">
        <f t="shared" si="19"/>
        <v>1.8333333333333335</v>
      </c>
      <c r="F110" s="131"/>
      <c r="G110" s="131">
        <f t="shared" si="39"/>
        <v>-1</v>
      </c>
      <c r="H110" s="131">
        <v>0.67</v>
      </c>
      <c r="I110" s="131">
        <v>0.67</v>
      </c>
      <c r="J110" s="131">
        <f t="shared" si="21"/>
        <v>0.51</v>
      </c>
      <c r="K110" s="131">
        <f t="shared" si="22"/>
        <v>0.68</v>
      </c>
      <c r="L110" s="131">
        <v>0.03</v>
      </c>
      <c r="M110" s="131">
        <v>0.2</v>
      </c>
      <c r="N110" s="131">
        <f t="shared" si="23"/>
        <v>0.10089552238805971</v>
      </c>
      <c r="O110" s="131">
        <f t="shared" si="37"/>
        <v>2.0784264876660772</v>
      </c>
      <c r="P110" s="131">
        <f t="shared" si="36"/>
        <v>0.18396839945986926</v>
      </c>
      <c r="Q110" s="131">
        <f t="shared" si="25"/>
        <v>0.7222222222222221</v>
      </c>
      <c r="R110" s="131"/>
      <c r="S110" s="131">
        <v>0.39800000000000002</v>
      </c>
      <c r="T110" s="131">
        <f>S110</f>
        <v>0.39800000000000002</v>
      </c>
      <c r="U110" s="131"/>
      <c r="V110" s="131">
        <v>0.35</v>
      </c>
      <c r="W110" s="131">
        <f>(V110+K110)/2</f>
        <v>0.51500000000000001</v>
      </c>
      <c r="X110" s="131" t="s">
        <v>225</v>
      </c>
      <c r="Y110" s="131">
        <v>0.1</v>
      </c>
      <c r="Z110" s="131">
        <f t="shared" si="38"/>
        <v>14.29593347401876</v>
      </c>
      <c r="AA110" s="15">
        <v>50</v>
      </c>
      <c r="AB110" s="15"/>
      <c r="AC110" s="15">
        <v>21</v>
      </c>
      <c r="AD110" s="75"/>
      <c r="AE110" s="15">
        <v>3.94</v>
      </c>
    </row>
    <row r="111" spans="1:31" ht="14">
      <c r="A111" s="164" t="s">
        <v>108</v>
      </c>
      <c r="B111" s="181">
        <v>2</v>
      </c>
      <c r="C111" s="181">
        <v>3</v>
      </c>
      <c r="D111" s="182" t="s">
        <v>8</v>
      </c>
      <c r="E111" s="131">
        <f t="shared" si="19"/>
        <v>1.5</v>
      </c>
      <c r="F111" s="131">
        <v>30.5</v>
      </c>
      <c r="G111" s="131">
        <f t="shared" si="39"/>
        <v>1.3444333333333334</v>
      </c>
      <c r="H111" s="131">
        <f>(G111+I111)/2</f>
        <v>1.0472166666666667</v>
      </c>
      <c r="I111" s="131">
        <v>0.75</v>
      </c>
      <c r="J111" s="131">
        <f t="shared" si="21"/>
        <v>0.39900000000000002</v>
      </c>
      <c r="K111" s="131">
        <f t="shared" si="22"/>
        <v>0.53200000000000003</v>
      </c>
      <c r="L111" s="131">
        <v>7.0000000000000007E-2</v>
      </c>
      <c r="M111" s="131">
        <v>0.2</v>
      </c>
      <c r="N111" s="131">
        <f t="shared" si="23"/>
        <v>0.10208955223880598</v>
      </c>
      <c r="O111" s="131">
        <f t="shared" si="37"/>
        <v>2.0834692053767299</v>
      </c>
      <c r="P111" s="131">
        <f t="shared" si="36"/>
        <v>0.2111945606101378</v>
      </c>
      <c r="Q111" s="131">
        <f t="shared" si="25"/>
        <v>0.83333333333333337</v>
      </c>
      <c r="R111" s="131">
        <v>40.1</v>
      </c>
      <c r="S111" s="131">
        <v>0.69099999999999995</v>
      </c>
      <c r="T111" s="131">
        <f>(R111/100+S111)/2</f>
        <v>0.54600000000000004</v>
      </c>
      <c r="U111" s="131">
        <v>0.32600000000000001</v>
      </c>
      <c r="V111" s="131">
        <v>0.47</v>
      </c>
      <c r="W111" s="131">
        <f>(V111+U111+J111)/3</f>
        <v>0.39833333333333337</v>
      </c>
      <c r="X111" s="131">
        <f>-8/126</f>
        <v>-6.3492063492063489E-2</v>
      </c>
      <c r="Y111" s="131">
        <f>X111</f>
        <v>-6.3492063492063489E-2</v>
      </c>
      <c r="Z111" s="131">
        <f t="shared" si="38"/>
        <v>12.452972237551814</v>
      </c>
      <c r="AA111" s="53">
        <v>53</v>
      </c>
      <c r="AB111" s="53"/>
      <c r="AC111" s="53">
        <v>13</v>
      </c>
      <c r="AD111" s="75"/>
      <c r="AE111" s="53">
        <v>5.84</v>
      </c>
    </row>
    <row r="112" spans="1:31" ht="14">
      <c r="A112" s="164" t="s">
        <v>109</v>
      </c>
      <c r="B112" s="181">
        <v>1</v>
      </c>
      <c r="C112" s="181">
        <v>1</v>
      </c>
      <c r="D112" s="182" t="s">
        <v>8</v>
      </c>
      <c r="E112" s="131">
        <f t="shared" si="19"/>
        <v>1</v>
      </c>
      <c r="F112" s="131"/>
      <c r="G112" s="131">
        <f t="shared" si="39"/>
        <v>-1</v>
      </c>
      <c r="H112" s="131">
        <v>0.67</v>
      </c>
      <c r="I112" s="131">
        <v>0.67</v>
      </c>
      <c r="J112" s="131">
        <f t="shared" si="21"/>
        <v>0.17200000000000004</v>
      </c>
      <c r="K112" s="131">
        <f t="shared" si="22"/>
        <v>0.22933333333333339</v>
      </c>
      <c r="L112" s="131">
        <v>7.0000000000000007E-2</v>
      </c>
      <c r="M112" s="131">
        <v>0.2</v>
      </c>
      <c r="N112" s="131">
        <f t="shared" si="23"/>
        <v>0.10208955223880598</v>
      </c>
      <c r="O112" s="131">
        <f t="shared" si="37"/>
        <v>1.9786720263456208</v>
      </c>
      <c r="P112" s="131">
        <f t="shared" si="36"/>
        <v>0.96614723482339471</v>
      </c>
      <c r="Q112" s="131">
        <f t="shared" si="25"/>
        <v>1</v>
      </c>
      <c r="R112" s="131">
        <v>26</v>
      </c>
      <c r="S112" s="131">
        <f>1-0.815</f>
        <v>0.18500000000000005</v>
      </c>
      <c r="T112" s="131">
        <f>(R112/100+S112)/2</f>
        <v>0.22250000000000003</v>
      </c>
      <c r="U112" s="131">
        <v>0.68</v>
      </c>
      <c r="V112" s="131">
        <v>0.75</v>
      </c>
      <c r="W112" s="131">
        <f>(V112+U112+J112)/3</f>
        <v>0.53400000000000014</v>
      </c>
      <c r="X112" s="131">
        <f>-8/108</f>
        <v>-7.407407407407407E-2</v>
      </c>
      <c r="Y112" s="131">
        <f>X112</f>
        <v>-7.407407407407407E-2</v>
      </c>
      <c r="Z112" s="131">
        <f t="shared" si="38"/>
        <v>2.7221523854806109</v>
      </c>
      <c r="AA112" s="25">
        <v>3.8</v>
      </c>
      <c r="AB112" s="25">
        <v>3.1</v>
      </c>
      <c r="AC112" s="25">
        <v>29</v>
      </c>
      <c r="AD112" s="25"/>
      <c r="AE112" s="25">
        <v>6.19</v>
      </c>
    </row>
    <row r="113" spans="1:31" ht="14">
      <c r="A113" s="165" t="s">
        <v>110</v>
      </c>
      <c r="B113" s="181">
        <v>1</v>
      </c>
      <c r="C113" s="181">
        <v>1</v>
      </c>
      <c r="D113" s="182" t="s">
        <v>8</v>
      </c>
      <c r="E113" s="131">
        <f t="shared" si="19"/>
        <v>1</v>
      </c>
      <c r="F113" s="131"/>
      <c r="G113" s="131">
        <f t="shared" si="39"/>
        <v>-1</v>
      </c>
      <c r="H113" s="131">
        <v>0.75</v>
      </c>
      <c r="I113" s="131">
        <v>0.75</v>
      </c>
      <c r="J113" s="131">
        <f t="shared" si="21"/>
        <v>0.19000000000000006</v>
      </c>
      <c r="K113" s="131">
        <f t="shared" si="22"/>
        <v>0.25333333333333341</v>
      </c>
      <c r="L113" s="131">
        <v>0.03</v>
      </c>
      <c r="M113" s="131">
        <v>0.2</v>
      </c>
      <c r="N113" s="131">
        <f t="shared" si="23"/>
        <v>0.10089552238805971</v>
      </c>
      <c r="O113" s="131">
        <f t="shared" si="37"/>
        <v>2.4391915847129479</v>
      </c>
      <c r="P113" s="131">
        <f t="shared" si="36"/>
        <v>0.87175661128523652</v>
      </c>
      <c r="Q113" s="131">
        <f t="shared" si="25"/>
        <v>1</v>
      </c>
      <c r="R113" s="131"/>
      <c r="S113" s="184">
        <v>0.15</v>
      </c>
      <c r="T113" s="131">
        <f>S113</f>
        <v>0.15</v>
      </c>
      <c r="U113" s="131"/>
      <c r="V113" s="131">
        <v>1.03</v>
      </c>
      <c r="W113" s="131">
        <f>(V113+K113)/2</f>
        <v>0.64166666666666672</v>
      </c>
      <c r="X113" s="131" t="s">
        <v>223</v>
      </c>
      <c r="Y113" s="131">
        <v>0.1</v>
      </c>
      <c r="Z113" s="131">
        <f t="shared" si="38"/>
        <v>3.0168971086122003</v>
      </c>
      <c r="AA113" s="15">
        <v>16</v>
      </c>
      <c r="AB113" s="15">
        <v>14.5</v>
      </c>
      <c r="AC113" s="15">
        <v>0.34699999999999998</v>
      </c>
      <c r="AD113" s="75"/>
      <c r="AE113" s="108">
        <v>4.9000000000000004</v>
      </c>
    </row>
    <row r="114" spans="1:31" ht="14">
      <c r="A114" s="164" t="s">
        <v>111</v>
      </c>
      <c r="B114" s="181">
        <v>6</v>
      </c>
      <c r="C114" s="181">
        <v>5</v>
      </c>
      <c r="D114" s="182" t="s">
        <v>4</v>
      </c>
      <c r="E114" s="131">
        <f t="shared" si="19"/>
        <v>2.5</v>
      </c>
      <c r="F114" s="131">
        <v>29.5</v>
      </c>
      <c r="G114" s="131">
        <f t="shared" si="39"/>
        <v>1.2675666666666667</v>
      </c>
      <c r="H114" s="131">
        <f>(G114+I114)/2</f>
        <v>1.0087833333333334</v>
      </c>
      <c r="I114" s="131">
        <v>0.75</v>
      </c>
      <c r="J114" s="131">
        <f t="shared" si="21"/>
        <v>0.61399999999999999</v>
      </c>
      <c r="K114" s="131">
        <f t="shared" si="22"/>
        <v>0.81866666666666665</v>
      </c>
      <c r="L114" s="131">
        <v>0.05</v>
      </c>
      <c r="M114" s="131">
        <v>0.2</v>
      </c>
      <c r="N114" s="131">
        <f t="shared" si="23"/>
        <v>0.10149253731343284</v>
      </c>
      <c r="O114" s="131">
        <f t="shared" si="37"/>
        <v>1.8522788033635118</v>
      </c>
      <c r="P114" s="131">
        <f t="shared" si="36"/>
        <v>2.1165717673195528E-2</v>
      </c>
      <c r="Q114" s="131">
        <f t="shared" si="25"/>
        <v>0.5</v>
      </c>
      <c r="R114" s="131">
        <v>39</v>
      </c>
      <c r="S114" s="131">
        <v>0.56699999999999995</v>
      </c>
      <c r="T114" s="131">
        <f>(R114/100+S114)/2</f>
        <v>0.47849999999999998</v>
      </c>
      <c r="U114" s="131"/>
      <c r="V114" s="131">
        <v>0.49</v>
      </c>
      <c r="W114" s="131">
        <f>(V114+K114)/2</f>
        <v>0.65433333333333332</v>
      </c>
      <c r="X114" s="131" t="s">
        <v>225</v>
      </c>
      <c r="Y114" s="131">
        <v>0.1</v>
      </c>
      <c r="Z114" s="131">
        <f t="shared" si="38"/>
        <v>124.25753950836535</v>
      </c>
      <c r="AA114" s="74">
        <v>36.1</v>
      </c>
      <c r="AB114" s="74">
        <v>30</v>
      </c>
      <c r="AC114" s="74">
        <v>15</v>
      </c>
      <c r="AD114" s="74"/>
      <c r="AE114" s="74">
        <v>6.01</v>
      </c>
    </row>
    <row r="115" spans="1:31" ht="14">
      <c r="A115" s="164" t="s">
        <v>112</v>
      </c>
      <c r="B115" s="181">
        <v>1</v>
      </c>
      <c r="C115" s="181">
        <v>2</v>
      </c>
      <c r="D115" s="182" t="s">
        <v>8</v>
      </c>
      <c r="E115" s="131">
        <f t="shared" si="19"/>
        <v>1.1666666666666667</v>
      </c>
      <c r="F115" s="131"/>
      <c r="G115" s="131">
        <f t="shared" si="39"/>
        <v>-1</v>
      </c>
      <c r="H115" s="131">
        <v>0.75</v>
      </c>
      <c r="I115" s="131">
        <v>0.75</v>
      </c>
      <c r="J115" s="131">
        <f t="shared" si="21"/>
        <v>0.19600000000000006</v>
      </c>
      <c r="K115" s="131">
        <f t="shared" si="22"/>
        <v>0.26133333333333342</v>
      </c>
      <c r="L115" s="131">
        <v>7.0000000000000007E-2</v>
      </c>
      <c r="M115" s="131">
        <v>0.2</v>
      </c>
      <c r="N115" s="131">
        <f t="shared" si="23"/>
        <v>0.10208955223880598</v>
      </c>
      <c r="O115" s="131">
        <f t="shared" si="37"/>
        <v>2.202607477835306</v>
      </c>
      <c r="P115" s="131">
        <f t="shared" si="36"/>
        <v>0.71748049218439425</v>
      </c>
      <c r="Q115" s="131">
        <f t="shared" si="25"/>
        <v>0.94444444444444442</v>
      </c>
      <c r="R115" s="131">
        <v>39</v>
      </c>
      <c r="S115" s="131">
        <v>0.29899999999999999</v>
      </c>
      <c r="T115" s="131">
        <f>(R115/100+S115)/2</f>
        <v>0.34450000000000003</v>
      </c>
      <c r="U115" s="131">
        <v>0.60199999999999998</v>
      </c>
      <c r="V115" s="131">
        <v>0.57999999999999996</v>
      </c>
      <c r="W115" s="131">
        <f>(V115+U115+J115)/3</f>
        <v>0.45933333333333337</v>
      </c>
      <c r="X115" s="131">
        <f>4/124</f>
        <v>3.2258064516129031E-2</v>
      </c>
      <c r="Y115" s="131">
        <f>X115</f>
        <v>3.2258064516129031E-2</v>
      </c>
      <c r="Z115" s="131">
        <f t="shared" si="38"/>
        <v>3.6656048891209205</v>
      </c>
      <c r="AA115" s="70" t="s">
        <v>223</v>
      </c>
      <c r="AB115" s="70">
        <v>6.2</v>
      </c>
      <c r="AC115" s="70">
        <v>0.41699999999999998</v>
      </c>
      <c r="AD115" s="70"/>
      <c r="AE115" s="70">
        <v>8.2799999999999994</v>
      </c>
    </row>
    <row r="116" spans="1:31" ht="14">
      <c r="A116" s="164" t="s">
        <v>113</v>
      </c>
      <c r="B116" s="181">
        <v>3</v>
      </c>
      <c r="C116" s="181">
        <v>3</v>
      </c>
      <c r="D116" s="182" t="s">
        <v>3</v>
      </c>
      <c r="E116" s="131">
        <f t="shared" si="19"/>
        <v>1.6666666666666665</v>
      </c>
      <c r="F116" s="131">
        <v>41.4</v>
      </c>
      <c r="G116" s="131">
        <f t="shared" si="39"/>
        <v>2.18228</v>
      </c>
      <c r="H116" s="131">
        <f>(G116+I116)/2</f>
        <v>1.59114</v>
      </c>
      <c r="I116" s="131">
        <v>1</v>
      </c>
      <c r="J116" s="131">
        <f t="shared" si="21"/>
        <v>0.30700000000000005</v>
      </c>
      <c r="K116" s="131">
        <f t="shared" si="22"/>
        <v>0.40933333333333338</v>
      </c>
      <c r="L116" s="131">
        <v>1.43</v>
      </c>
      <c r="M116" s="131">
        <v>0.6</v>
      </c>
      <c r="N116" s="131">
        <f t="shared" si="23"/>
        <v>0.34268656716417911</v>
      </c>
      <c r="O116" s="131">
        <f t="shared" si="37"/>
        <v>1.8224020773694789</v>
      </c>
      <c r="P116" s="131">
        <f t="shared" si="36"/>
        <v>5.295659545476223E-2</v>
      </c>
      <c r="Q116" s="131">
        <f t="shared" si="25"/>
        <v>0.77777777777777779</v>
      </c>
      <c r="R116" s="131">
        <v>51.7</v>
      </c>
      <c r="S116" s="131">
        <f>1-0.75</f>
        <v>0.25</v>
      </c>
      <c r="T116" s="131">
        <f>(R116/100+S116)/2</f>
        <v>0.38350000000000001</v>
      </c>
      <c r="U116" s="131">
        <v>0.375</v>
      </c>
      <c r="V116" s="131">
        <v>0.62</v>
      </c>
      <c r="W116" s="131">
        <f>(V116+U116+J116)/3</f>
        <v>0.434</v>
      </c>
      <c r="X116" s="131">
        <f>-5/109</f>
        <v>-4.5871559633027525E-2</v>
      </c>
      <c r="Y116" s="131">
        <f>X116</f>
        <v>-4.5871559633027525E-2</v>
      </c>
      <c r="Z116" s="131">
        <f t="shared" si="38"/>
        <v>49.663313462940749</v>
      </c>
      <c r="AA116" s="15" t="s">
        <v>223</v>
      </c>
      <c r="AB116" s="15">
        <v>36</v>
      </c>
      <c r="AC116" s="15">
        <v>5.8999999999999997E-2</v>
      </c>
      <c r="AD116" s="75"/>
      <c r="AE116" s="108">
        <v>8.1</v>
      </c>
    </row>
    <row r="117" spans="1:31" ht="14">
      <c r="A117" s="164" t="s">
        <v>114</v>
      </c>
      <c r="B117" s="181">
        <v>1</v>
      </c>
      <c r="C117" s="181">
        <v>1</v>
      </c>
      <c r="D117" s="182" t="s">
        <v>8</v>
      </c>
      <c r="E117" s="131">
        <f t="shared" si="19"/>
        <v>1</v>
      </c>
      <c r="F117" s="131"/>
      <c r="G117" s="131">
        <f t="shared" si="39"/>
        <v>-1</v>
      </c>
      <c r="H117" s="131">
        <v>0.75</v>
      </c>
      <c r="I117" s="131">
        <v>0.75</v>
      </c>
      <c r="J117" s="131">
        <f t="shared" si="21"/>
        <v>0.19000000000000006</v>
      </c>
      <c r="K117" s="131">
        <f t="shared" si="22"/>
        <v>0.25333333333333341</v>
      </c>
      <c r="L117" s="131">
        <v>0.03</v>
      </c>
      <c r="M117" s="131">
        <v>0.2</v>
      </c>
      <c r="N117" s="131">
        <f t="shared" si="23"/>
        <v>0.10089552238805971</v>
      </c>
      <c r="O117" s="131">
        <f t="shared" si="37"/>
        <v>2.9971644748744368</v>
      </c>
      <c r="P117" s="131">
        <f t="shared" si="36"/>
        <v>0.87175661128523652</v>
      </c>
      <c r="Q117" s="131">
        <f t="shared" si="25"/>
        <v>1</v>
      </c>
      <c r="R117" s="131"/>
      <c r="S117" s="131">
        <v>0.38600000000000001</v>
      </c>
      <c r="T117" s="131">
        <f>S117</f>
        <v>0.38600000000000001</v>
      </c>
      <c r="U117" s="131"/>
      <c r="V117" s="131">
        <v>0.97</v>
      </c>
      <c r="W117" s="131">
        <f>(V117+K117)/2</f>
        <v>0.61166666666666669</v>
      </c>
      <c r="X117" s="131" t="s">
        <v>223</v>
      </c>
      <c r="Y117" s="131">
        <v>0.1</v>
      </c>
      <c r="Z117" s="131">
        <f t="shared" si="38"/>
        <v>3.0168971086122003</v>
      </c>
      <c r="AA117" s="15">
        <v>40</v>
      </c>
      <c r="AB117" s="15">
        <v>30</v>
      </c>
      <c r="AC117" s="15">
        <v>3.3</v>
      </c>
      <c r="AD117" s="75"/>
      <c r="AE117" s="15">
        <v>3.86</v>
      </c>
    </row>
    <row r="118" spans="1:31" ht="14">
      <c r="A118" s="164" t="s">
        <v>115</v>
      </c>
      <c r="B118" s="181">
        <v>3</v>
      </c>
      <c r="C118" s="181">
        <v>3</v>
      </c>
      <c r="D118" s="182" t="s">
        <v>3</v>
      </c>
      <c r="E118" s="131">
        <f t="shared" si="19"/>
        <v>1.6666666666666665</v>
      </c>
      <c r="F118" s="131">
        <v>29.8</v>
      </c>
      <c r="G118" s="131">
        <f t="shared" si="39"/>
        <v>1.2906266666666668</v>
      </c>
      <c r="H118" s="131">
        <f>(G118+I118)/2</f>
        <v>1.0203133333333334</v>
      </c>
      <c r="I118" s="131">
        <v>0.75</v>
      </c>
      <c r="J118" s="131">
        <f t="shared" si="21"/>
        <v>0.36699999999999999</v>
      </c>
      <c r="K118" s="131">
        <f t="shared" si="22"/>
        <v>0.48933333333333334</v>
      </c>
      <c r="L118" s="131">
        <v>0.08</v>
      </c>
      <c r="M118" s="131">
        <v>0.2</v>
      </c>
      <c r="N118" s="131">
        <f t="shared" si="23"/>
        <v>0.10238805970149255</v>
      </c>
      <c r="O118" s="131">
        <f t="shared" si="37"/>
        <v>1.7435240080582213</v>
      </c>
      <c r="P118" s="131">
        <f t="shared" si="36"/>
        <v>0.17911258618575984</v>
      </c>
      <c r="Q118" s="131">
        <f t="shared" si="25"/>
        <v>0.77777777777777779</v>
      </c>
      <c r="R118" s="131">
        <v>38</v>
      </c>
      <c r="S118" s="131">
        <v>0.377</v>
      </c>
      <c r="T118" s="131">
        <f>(R118/100+S118)/2</f>
        <v>0.3785</v>
      </c>
      <c r="U118" s="131">
        <v>0.29299999999999998</v>
      </c>
      <c r="V118" s="131">
        <v>0.4</v>
      </c>
      <c r="W118" s="131">
        <f>(V118+U118+J118)/3</f>
        <v>0.35333333333333333</v>
      </c>
      <c r="X118" s="131">
        <f>-2/117</f>
        <v>-1.7094017094017096E-2</v>
      </c>
      <c r="Y118" s="131">
        <f>X118</f>
        <v>-1.7094017094017096E-2</v>
      </c>
      <c r="Z118" s="131">
        <f t="shared" si="38"/>
        <v>14.683501902386663</v>
      </c>
      <c r="AA118" s="15">
        <v>8</v>
      </c>
      <c r="AB118" s="15">
        <v>7.8</v>
      </c>
      <c r="AC118" s="15">
        <v>1.29</v>
      </c>
      <c r="AD118" s="75"/>
      <c r="AE118" s="15">
        <v>8.0399999999999991</v>
      </c>
    </row>
    <row r="119" spans="1:31" ht="14">
      <c r="A119" s="164" t="s">
        <v>116</v>
      </c>
      <c r="B119" s="181">
        <v>2</v>
      </c>
      <c r="C119" s="181">
        <v>1</v>
      </c>
      <c r="D119" s="182" t="s">
        <v>8</v>
      </c>
      <c r="E119" s="131">
        <f t="shared" si="19"/>
        <v>1.1666666666666667</v>
      </c>
      <c r="F119" s="131"/>
      <c r="G119" s="131">
        <f t="shared" si="39"/>
        <v>-1</v>
      </c>
      <c r="H119" s="131">
        <v>0.75</v>
      </c>
      <c r="I119" s="131">
        <v>0.75</v>
      </c>
      <c r="J119" s="131">
        <f t="shared" si="21"/>
        <v>0.39</v>
      </c>
      <c r="K119" s="131">
        <f t="shared" si="22"/>
        <v>0.52</v>
      </c>
      <c r="L119" s="131">
        <v>0</v>
      </c>
      <c r="M119" s="131">
        <v>0.2</v>
      </c>
      <c r="N119" s="131">
        <f t="shared" si="23"/>
        <v>0.1</v>
      </c>
      <c r="O119" s="131">
        <f t="shared" si="37"/>
        <v>2.3730277386646654</v>
      </c>
      <c r="P119" s="131">
        <f t="shared" si="36"/>
        <v>0.53187355995615138</v>
      </c>
      <c r="Q119" s="131">
        <f t="shared" si="25"/>
        <v>0.94444444444444442</v>
      </c>
      <c r="R119" s="131"/>
      <c r="S119" s="184">
        <v>0.18</v>
      </c>
      <c r="T119" s="131">
        <f>S119</f>
        <v>0.18</v>
      </c>
      <c r="U119" s="131"/>
      <c r="V119" s="131">
        <v>0.75</v>
      </c>
      <c r="W119" s="131">
        <f>(V119+K119)/2</f>
        <v>0.63500000000000001</v>
      </c>
      <c r="X119" s="131" t="s">
        <v>225</v>
      </c>
      <c r="Y119" s="131">
        <v>0.1</v>
      </c>
      <c r="Z119" s="131">
        <f t="shared" si="38"/>
        <v>4.9447842457459661</v>
      </c>
      <c r="AA119" s="99">
        <v>18.2</v>
      </c>
      <c r="AB119" s="99">
        <v>5.0999999999999996</v>
      </c>
      <c r="AC119" s="99">
        <v>113</v>
      </c>
      <c r="AD119" s="99"/>
      <c r="AE119" s="99">
        <v>6.93</v>
      </c>
    </row>
    <row r="120" spans="1:31" ht="14">
      <c r="A120" s="164" t="s">
        <v>117</v>
      </c>
      <c r="B120" s="181">
        <v>2</v>
      </c>
      <c r="C120" s="181">
        <v>2</v>
      </c>
      <c r="D120" s="182" t="s">
        <v>8</v>
      </c>
      <c r="E120" s="131">
        <f t="shared" si="19"/>
        <v>1.3333333333333333</v>
      </c>
      <c r="F120" s="131">
        <v>28.4</v>
      </c>
      <c r="G120" s="131">
        <f t="shared" si="39"/>
        <v>1.1830133333333333</v>
      </c>
      <c r="H120" s="131">
        <f>(G120+I120)/2</f>
        <v>0.96650666666666663</v>
      </c>
      <c r="I120" s="131">
        <v>0.75</v>
      </c>
      <c r="J120" s="131">
        <f t="shared" si="21"/>
        <v>0.36399999999999999</v>
      </c>
      <c r="K120" s="131">
        <f t="shared" si="22"/>
        <v>0.48533333333333334</v>
      </c>
      <c r="L120" s="131">
        <v>0.05</v>
      </c>
      <c r="M120" s="131">
        <v>0.2</v>
      </c>
      <c r="N120" s="131">
        <f t="shared" si="23"/>
        <v>0.10149253731343284</v>
      </c>
      <c r="O120" s="131">
        <f t="shared" si="37"/>
        <v>1.3822376945296395</v>
      </c>
      <c r="P120" s="131">
        <f t="shared" si="36"/>
        <v>0.33150041961119187</v>
      </c>
      <c r="Q120" s="131">
        <f t="shared" si="25"/>
        <v>0.88888888888888895</v>
      </c>
      <c r="R120" s="131">
        <v>36.5</v>
      </c>
      <c r="S120" s="131">
        <v>0.378</v>
      </c>
      <c r="T120" s="131">
        <f>(R120/100+S120)/2</f>
        <v>0.3715</v>
      </c>
      <c r="U120" s="131"/>
      <c r="V120" s="131">
        <v>-0.7</v>
      </c>
      <c r="W120" s="131">
        <f>(V120+K120)/2</f>
        <v>-0.10733333333333331</v>
      </c>
      <c r="X120" s="131" t="s">
        <v>225</v>
      </c>
      <c r="Y120" s="131">
        <v>0.1</v>
      </c>
      <c r="Z120" s="131">
        <f t="shared" si="38"/>
        <v>7.9336249501121534</v>
      </c>
      <c r="AA120" s="15">
        <v>26.7</v>
      </c>
      <c r="AB120" s="15">
        <v>22</v>
      </c>
      <c r="AC120" s="15"/>
      <c r="AD120" s="75"/>
      <c r="AE120" s="108">
        <v>8.1</v>
      </c>
    </row>
    <row r="121" spans="1:31" ht="14">
      <c r="A121" s="164" t="s">
        <v>194</v>
      </c>
      <c r="B121" s="181">
        <v>3</v>
      </c>
      <c r="C121" s="181">
        <v>2</v>
      </c>
      <c r="D121" s="182" t="s">
        <v>8</v>
      </c>
      <c r="E121" s="131">
        <f t="shared" si="19"/>
        <v>1.5</v>
      </c>
      <c r="F121" s="131">
        <v>24.1</v>
      </c>
      <c r="G121" s="131">
        <f t="shared" si="39"/>
        <v>0.85248666666666684</v>
      </c>
      <c r="H121" s="131">
        <f>(G121+I121)/2</f>
        <v>0.80124333333333342</v>
      </c>
      <c r="I121" s="131">
        <v>0.75</v>
      </c>
      <c r="J121" s="131">
        <f t="shared" si="21"/>
        <v>0.373</v>
      </c>
      <c r="K121" s="131">
        <f t="shared" si="22"/>
        <v>0.49733333333333335</v>
      </c>
      <c r="L121" s="131">
        <v>0.04</v>
      </c>
      <c r="M121" s="131">
        <v>0.2</v>
      </c>
      <c r="N121" s="131">
        <f t="shared" si="23"/>
        <v>0.10119402985074627</v>
      </c>
      <c r="O121" s="131">
        <f t="shared" si="37"/>
        <v>2.0901215500875145</v>
      </c>
      <c r="P121" s="131">
        <f t="shared" si="36"/>
        <v>0.32217119971739028</v>
      </c>
      <c r="Q121" s="131">
        <f t="shared" si="25"/>
        <v>0.83333333333333337</v>
      </c>
      <c r="R121" s="131">
        <v>24.3</v>
      </c>
      <c r="S121" s="131">
        <f>1-0.769</f>
        <v>0.23099999999999998</v>
      </c>
      <c r="T121" s="131">
        <f>(R121/100+S121)/2</f>
        <v>0.23699999999999999</v>
      </c>
      <c r="U121" s="131">
        <v>0.45</v>
      </c>
      <c r="V121" s="131">
        <v>0.82</v>
      </c>
      <c r="W121" s="131">
        <f>(V121+U121+J121)/3</f>
        <v>0.54766666666666663</v>
      </c>
      <c r="X121" s="131" t="s">
        <v>225</v>
      </c>
      <c r="Y121" s="131">
        <v>0.1</v>
      </c>
      <c r="Z121" s="131">
        <f t="shared" si="38"/>
        <v>8.1633615987619166</v>
      </c>
      <c r="AA121" s="15">
        <v>26.3</v>
      </c>
      <c r="AB121" s="15">
        <v>6.2</v>
      </c>
      <c r="AC121" s="15">
        <v>3.5</v>
      </c>
      <c r="AD121" s="75"/>
      <c r="AE121" s="15">
        <v>6.33</v>
      </c>
    </row>
    <row r="122" spans="1:31" ht="14">
      <c r="A122" s="164" t="s">
        <v>118</v>
      </c>
      <c r="B122" s="181">
        <v>5</v>
      </c>
      <c r="C122" s="181">
        <v>4</v>
      </c>
      <c r="D122" s="182" t="s">
        <v>3</v>
      </c>
      <c r="E122" s="131">
        <f t="shared" si="19"/>
        <v>2.166666666666667</v>
      </c>
      <c r="F122" s="131">
        <v>33.200000000000003</v>
      </c>
      <c r="G122" s="131">
        <f t="shared" si="39"/>
        <v>1.5519733333333336</v>
      </c>
      <c r="H122" s="131">
        <f>(G122+I122)/2</f>
        <v>1.1509866666666668</v>
      </c>
      <c r="I122" s="131">
        <v>0.75</v>
      </c>
      <c r="J122" s="131">
        <f t="shared" si="21"/>
        <v>0.621</v>
      </c>
      <c r="K122" s="131">
        <f t="shared" si="22"/>
        <v>0.82799999999999996</v>
      </c>
      <c r="L122" s="131">
        <v>0.26</v>
      </c>
      <c r="M122" s="131">
        <v>0.4</v>
      </c>
      <c r="N122" s="131">
        <f t="shared" si="23"/>
        <v>0.20776119402985077</v>
      </c>
      <c r="O122" s="131">
        <f t="shared" si="37"/>
        <v>2.0396931062236865</v>
      </c>
      <c r="P122" s="131">
        <f t="shared" si="36"/>
        <v>2.3029717035892117E-2</v>
      </c>
      <c r="Q122" s="131">
        <f t="shared" si="25"/>
        <v>0.61111111111111094</v>
      </c>
      <c r="R122" s="131">
        <v>40.9</v>
      </c>
      <c r="S122" s="131">
        <v>0.433</v>
      </c>
      <c r="T122" s="131">
        <f>(R122/100+S122)/2</f>
        <v>0.42099999999999999</v>
      </c>
      <c r="U122" s="131">
        <v>0.65</v>
      </c>
      <c r="V122" s="131">
        <v>0.54</v>
      </c>
      <c r="W122" s="131">
        <f>(V122+U122+J122)/3</f>
        <v>0.60366666666666668</v>
      </c>
      <c r="X122" s="131">
        <f>18/127</f>
        <v>0.14173228346456693</v>
      </c>
      <c r="Y122" s="131">
        <f>X122</f>
        <v>0.14173228346456693</v>
      </c>
      <c r="Z122" s="131">
        <f t="shared" si="38"/>
        <v>114.20027418926209</v>
      </c>
      <c r="AA122" s="15" t="s">
        <v>223</v>
      </c>
      <c r="AB122" s="15">
        <v>0</v>
      </c>
      <c r="AC122" s="15">
        <v>3.5000000000000003E-2</v>
      </c>
      <c r="AD122" s="75"/>
      <c r="AE122" s="108">
        <v>6.1</v>
      </c>
    </row>
    <row r="123" spans="1:31" ht="14">
      <c r="A123" s="164" t="s">
        <v>119</v>
      </c>
      <c r="B123" s="181">
        <v>4</v>
      </c>
      <c r="C123" s="181">
        <v>3</v>
      </c>
      <c r="D123" s="182" t="s">
        <v>3</v>
      </c>
      <c r="E123" s="131">
        <f t="shared" si="19"/>
        <v>1.8333333333333335</v>
      </c>
      <c r="F123" s="131">
        <v>36.700000000000003</v>
      </c>
      <c r="G123" s="131">
        <f t="shared" si="39"/>
        <v>1.8210066666666669</v>
      </c>
      <c r="H123" s="131">
        <f>(G123+I123)/2</f>
        <v>1.2855033333333334</v>
      </c>
      <c r="I123" s="131">
        <v>0.75</v>
      </c>
      <c r="J123" s="131">
        <f t="shared" si="21"/>
        <v>0.51</v>
      </c>
      <c r="K123" s="131">
        <f t="shared" si="22"/>
        <v>0.68</v>
      </c>
      <c r="L123" s="131">
        <v>7.0000000000000007E-2</v>
      </c>
      <c r="M123" s="131">
        <v>0.2</v>
      </c>
      <c r="N123" s="131">
        <f t="shared" si="23"/>
        <v>0.10208955223880598</v>
      </c>
      <c r="O123" s="131">
        <f t="shared" si="37"/>
        <v>2.0377369501807792</v>
      </c>
      <c r="P123" s="131">
        <f t="shared" si="36"/>
        <v>5.9391562349437134E-2</v>
      </c>
      <c r="Q123" s="131">
        <f t="shared" si="25"/>
        <v>0.7222222222222221</v>
      </c>
      <c r="R123" s="131">
        <v>45.6</v>
      </c>
      <c r="S123" s="131">
        <v>0.71599999999999997</v>
      </c>
      <c r="T123" s="131">
        <f>(R123/100+S123)/2</f>
        <v>0.58599999999999997</v>
      </c>
      <c r="U123" s="131">
        <v>0.43</v>
      </c>
      <c r="V123" s="131">
        <v>0.28000000000000003</v>
      </c>
      <c r="W123" s="131">
        <f>(V123+U123+J123)/3</f>
        <v>0.40666666666666668</v>
      </c>
      <c r="X123" s="131">
        <f>-1/142</f>
        <v>-7.0422535211267607E-3</v>
      </c>
      <c r="Y123" s="131">
        <f>X123</f>
        <v>-7.0422535211267607E-3</v>
      </c>
      <c r="Z123" s="131">
        <f t="shared" si="38"/>
        <v>44.282384499772718</v>
      </c>
      <c r="AA123" s="15">
        <v>39.200000000000003</v>
      </c>
      <c r="AB123" s="15">
        <v>9.9</v>
      </c>
      <c r="AC123" s="15">
        <v>2.7</v>
      </c>
      <c r="AD123" s="75"/>
      <c r="AE123" s="15">
        <v>6.36</v>
      </c>
    </row>
    <row r="124" spans="1:31" ht="14">
      <c r="A124" s="164" t="s">
        <v>120</v>
      </c>
      <c r="B124" s="181">
        <v>2</v>
      </c>
      <c r="C124" s="181">
        <v>2</v>
      </c>
      <c r="D124" s="182" t="s">
        <v>8</v>
      </c>
      <c r="E124" s="131">
        <f t="shared" si="19"/>
        <v>1.3333333333333333</v>
      </c>
      <c r="F124" s="131">
        <v>53</v>
      </c>
      <c r="G124" s="131">
        <f t="shared" si="39"/>
        <v>3.0739333333333336</v>
      </c>
      <c r="H124" s="131">
        <f>(G124+I124)/2</f>
        <v>1.9119666666666668</v>
      </c>
      <c r="I124" s="131">
        <v>0.75</v>
      </c>
      <c r="J124" s="131">
        <f t="shared" si="21"/>
        <v>0.377</v>
      </c>
      <c r="K124" s="131">
        <f t="shared" si="22"/>
        <v>0.50266666666666671</v>
      </c>
      <c r="L124" s="131">
        <v>0.08</v>
      </c>
      <c r="M124" s="131">
        <v>0.2</v>
      </c>
      <c r="N124" s="131">
        <f t="shared" si="23"/>
        <v>0.10238805970149255</v>
      </c>
      <c r="O124" s="131">
        <f t="shared" si="37"/>
        <v>2.6098259827629047</v>
      </c>
      <c r="P124" s="131">
        <f t="shared" si="36"/>
        <v>9.1717261569284475E-2</v>
      </c>
      <c r="Q124" s="131">
        <f t="shared" si="25"/>
        <v>0.88888888888888895</v>
      </c>
      <c r="R124" s="131">
        <v>70.7</v>
      </c>
      <c r="S124" s="131">
        <v>0.39400000000000002</v>
      </c>
      <c r="T124" s="131">
        <f>(R124/100+S124)/2</f>
        <v>0.55049999999999999</v>
      </c>
      <c r="U124" s="131">
        <v>0.27400000000000002</v>
      </c>
      <c r="V124" s="131">
        <v>0.64</v>
      </c>
      <c r="W124" s="131">
        <f>(V124+U124+J124)/3</f>
        <v>0.43033333333333329</v>
      </c>
      <c r="X124" s="131">
        <f>12/122</f>
        <v>9.8360655737704916E-2</v>
      </c>
      <c r="Y124" s="131">
        <f>X124</f>
        <v>9.8360655737704916E-2</v>
      </c>
      <c r="Z124" s="131">
        <f t="shared" si="38"/>
        <v>28.675082040181302</v>
      </c>
      <c r="AA124" s="70">
        <v>6.6</v>
      </c>
      <c r="AB124" s="70">
        <v>11.5</v>
      </c>
      <c r="AC124" s="70">
        <v>0.62</v>
      </c>
      <c r="AD124" s="70"/>
      <c r="AE124" s="70">
        <v>6.27</v>
      </c>
    </row>
    <row r="125" spans="1:31" ht="14">
      <c r="A125" s="164" t="s">
        <v>121</v>
      </c>
      <c r="B125" s="181">
        <v>1</v>
      </c>
      <c r="C125" s="181">
        <v>1</v>
      </c>
      <c r="D125" s="182" t="s">
        <v>8</v>
      </c>
      <c r="E125" s="131">
        <f t="shared" si="19"/>
        <v>1</v>
      </c>
      <c r="F125" s="131"/>
      <c r="G125" s="131">
        <f t="shared" si="39"/>
        <v>-1</v>
      </c>
      <c r="H125" s="131">
        <v>0.75</v>
      </c>
      <c r="I125" s="131">
        <v>0.75</v>
      </c>
      <c r="J125" s="131">
        <f t="shared" si="21"/>
        <v>0.19000000000000006</v>
      </c>
      <c r="K125" s="131">
        <f t="shared" si="22"/>
        <v>0.25333333333333341</v>
      </c>
      <c r="L125" s="131">
        <v>0</v>
      </c>
      <c r="M125" s="131">
        <v>0.2</v>
      </c>
      <c r="N125" s="131">
        <f t="shared" si="23"/>
        <v>0.1</v>
      </c>
      <c r="O125" s="131">
        <f t="shared" si="37"/>
        <v>1.6542261780175223</v>
      </c>
      <c r="P125" s="131">
        <f t="shared" si="36"/>
        <v>0.87253763850906763</v>
      </c>
      <c r="Q125" s="131">
        <f t="shared" si="25"/>
        <v>1</v>
      </c>
      <c r="R125" s="131"/>
      <c r="S125" s="184">
        <v>0.15</v>
      </c>
      <c r="T125" s="131">
        <f>S125</f>
        <v>0.15</v>
      </c>
      <c r="U125" s="131"/>
      <c r="V125" s="131"/>
      <c r="W125" s="131">
        <f>(K125+K125)/2</f>
        <v>0.25333333333333341</v>
      </c>
      <c r="X125" s="131" t="s">
        <v>223</v>
      </c>
      <c r="Y125" s="131">
        <v>0.1</v>
      </c>
      <c r="Z125" s="131">
        <f t="shared" si="38"/>
        <v>3.0141966190638643</v>
      </c>
      <c r="AA125" s="45">
        <v>15</v>
      </c>
      <c r="AB125" s="45">
        <v>9.1999999999999993</v>
      </c>
      <c r="AC125" s="45">
        <v>33</v>
      </c>
      <c r="AD125" s="75"/>
      <c r="AE125" s="45">
        <v>3.79</v>
      </c>
    </row>
    <row r="126" spans="1:31" ht="14">
      <c r="A126" s="164" t="s">
        <v>122</v>
      </c>
      <c r="B126" s="181">
        <v>4</v>
      </c>
      <c r="C126" s="181">
        <v>4</v>
      </c>
      <c r="D126" s="182" t="s">
        <v>3</v>
      </c>
      <c r="E126" s="131">
        <f t="shared" si="19"/>
        <v>2</v>
      </c>
      <c r="F126" s="131">
        <v>29.5</v>
      </c>
      <c r="G126" s="131">
        <f t="shared" si="39"/>
        <v>1.2675666666666667</v>
      </c>
      <c r="H126" s="131">
        <f>(G126+I126)/2</f>
        <v>1.0087833333333334</v>
      </c>
      <c r="I126" s="131">
        <v>0.75</v>
      </c>
      <c r="J126" s="131">
        <f t="shared" si="21"/>
        <v>0.57599999999999996</v>
      </c>
      <c r="K126" s="131">
        <f t="shared" si="22"/>
        <v>0.7679999999999999</v>
      </c>
      <c r="L126" s="131">
        <v>0.06</v>
      </c>
      <c r="M126" s="131">
        <v>0.2</v>
      </c>
      <c r="N126" s="131">
        <f t="shared" si="23"/>
        <v>0.1017910447761194</v>
      </c>
      <c r="O126" s="131">
        <f t="shared" si="37"/>
        <v>2.4286446227674445</v>
      </c>
      <c r="P126" s="131">
        <f t="shared" si="36"/>
        <v>6.141108577595672E-2</v>
      </c>
      <c r="Q126" s="131">
        <f t="shared" si="25"/>
        <v>0.66666666666666674</v>
      </c>
      <c r="R126" s="131">
        <v>47.2</v>
      </c>
      <c r="S126" s="131">
        <v>0.57199999999999995</v>
      </c>
      <c r="T126" s="131">
        <f t="shared" ref="T126:T131" si="42">(R126/100+S126)/2</f>
        <v>0.52200000000000002</v>
      </c>
      <c r="U126" s="131"/>
      <c r="V126" s="131">
        <v>0.65</v>
      </c>
      <c r="W126" s="131">
        <f>(V126+K126)/2</f>
        <v>0.70899999999999996</v>
      </c>
      <c r="X126" s="131" t="s">
        <v>225</v>
      </c>
      <c r="Y126" s="131">
        <v>0.1</v>
      </c>
      <c r="Z126" s="131">
        <f t="shared" si="38"/>
        <v>42.826143957052146</v>
      </c>
      <c r="AA126" s="15">
        <v>54</v>
      </c>
      <c r="AB126" s="15">
        <v>21</v>
      </c>
      <c r="AC126" s="15">
        <v>23</v>
      </c>
      <c r="AD126" s="92"/>
      <c r="AE126" s="18">
        <v>4.9000000000000004</v>
      </c>
    </row>
    <row r="127" spans="1:31" ht="14">
      <c r="A127" s="164" t="s">
        <v>123</v>
      </c>
      <c r="B127" s="181">
        <v>1</v>
      </c>
      <c r="C127" s="181">
        <v>1</v>
      </c>
      <c r="D127" s="182" t="s">
        <v>8</v>
      </c>
      <c r="E127" s="131">
        <f t="shared" si="19"/>
        <v>1</v>
      </c>
      <c r="F127" s="131">
        <v>22.9</v>
      </c>
      <c r="G127" s="131">
        <f t="shared" si="39"/>
        <v>0.76024666666666674</v>
      </c>
      <c r="H127" s="131">
        <f>(G127+I127)/2</f>
        <v>0.81512333333333342</v>
      </c>
      <c r="I127" s="131">
        <v>0.87</v>
      </c>
      <c r="J127" s="131">
        <f t="shared" si="21"/>
        <v>0.10099999999999998</v>
      </c>
      <c r="K127" s="131">
        <f t="shared" si="22"/>
        <v>0.13466666666666663</v>
      </c>
      <c r="L127" s="131">
        <v>2.08</v>
      </c>
      <c r="M127" s="131">
        <v>0.4</v>
      </c>
      <c r="N127" s="131">
        <f t="shared" si="23"/>
        <v>0.26208955223880598</v>
      </c>
      <c r="O127" s="131">
        <f t="shared" si="37"/>
        <v>2.1110366448708255</v>
      </c>
      <c r="P127" s="131">
        <f t="shared" si="36"/>
        <v>0.78278617384749904</v>
      </c>
      <c r="Q127" s="131">
        <f t="shared" si="25"/>
        <v>1</v>
      </c>
      <c r="R127" s="131">
        <v>30.9</v>
      </c>
      <c r="S127" s="131">
        <f>1-0.89</f>
        <v>0.10999999999999999</v>
      </c>
      <c r="T127" s="131">
        <f t="shared" si="42"/>
        <v>0.20949999999999999</v>
      </c>
      <c r="U127" s="131">
        <v>0.64400000000000002</v>
      </c>
      <c r="V127" s="131">
        <v>0.84</v>
      </c>
      <c r="W127" s="131">
        <f>(V127+U127+J127)/3</f>
        <v>0.52833333333333332</v>
      </c>
      <c r="X127" s="131">
        <f>1/107</f>
        <v>9.3457943925233638E-3</v>
      </c>
      <c r="Y127" s="131">
        <f>X127</f>
        <v>9.3457943925233638E-3</v>
      </c>
      <c r="Z127" s="131">
        <f t="shared" si="38"/>
        <v>3.3597936293038968</v>
      </c>
      <c r="AA127" s="15">
        <v>55.8</v>
      </c>
      <c r="AB127" s="15">
        <v>51.2</v>
      </c>
      <c r="AC127" s="15">
        <v>2.2999999999999998</v>
      </c>
      <c r="AD127" s="75"/>
      <c r="AE127" s="15">
        <v>6.23</v>
      </c>
    </row>
    <row r="128" spans="1:31" ht="14">
      <c r="A128" s="164" t="s">
        <v>124</v>
      </c>
      <c r="B128" s="181">
        <v>1</v>
      </c>
      <c r="C128" s="181">
        <v>1</v>
      </c>
      <c r="D128" s="182" t="s">
        <v>8</v>
      </c>
      <c r="E128" s="131">
        <f t="shared" si="19"/>
        <v>1</v>
      </c>
      <c r="F128" s="131"/>
      <c r="G128" s="131">
        <f t="shared" si="39"/>
        <v>-1</v>
      </c>
      <c r="H128" s="131">
        <v>0.75</v>
      </c>
      <c r="I128" s="131">
        <v>0.75</v>
      </c>
      <c r="J128" s="131">
        <f t="shared" si="21"/>
        <v>7.4000000000000066E-2</v>
      </c>
      <c r="K128" s="131">
        <f t="shared" si="22"/>
        <v>9.866666666666675E-2</v>
      </c>
      <c r="L128" s="131">
        <v>0.38</v>
      </c>
      <c r="M128" s="131">
        <v>0.2</v>
      </c>
      <c r="N128" s="131">
        <f t="shared" si="23"/>
        <v>0.11134328358208956</v>
      </c>
      <c r="O128" s="131">
        <f t="shared" si="37"/>
        <v>1.7939819364259377</v>
      </c>
      <c r="P128" s="131">
        <f t="shared" si="36"/>
        <v>1.0069982701814089</v>
      </c>
      <c r="Q128" s="131">
        <f t="shared" si="25"/>
        <v>1</v>
      </c>
      <c r="R128" s="131">
        <v>36.200000000000003</v>
      </c>
      <c r="S128" s="131">
        <f>1-0.907</f>
        <v>9.2999999999999972E-2</v>
      </c>
      <c r="T128" s="131">
        <f t="shared" si="42"/>
        <v>0.22750000000000001</v>
      </c>
      <c r="U128" s="131">
        <v>0.33700000000000002</v>
      </c>
      <c r="V128" s="131">
        <v>0.8</v>
      </c>
      <c r="W128" s="131">
        <f>(V128+U128+J128)/3</f>
        <v>0.40366666666666667</v>
      </c>
      <c r="X128" s="131">
        <f>-5/107</f>
        <v>-4.6728971962616821E-2</v>
      </c>
      <c r="Y128" s="131">
        <f>X128</f>
        <v>-4.6728971962616821E-2</v>
      </c>
      <c r="Z128" s="131">
        <f t="shared" si="38"/>
        <v>2.6117224605819933</v>
      </c>
      <c r="AA128" s="15" t="s">
        <v>223</v>
      </c>
      <c r="AB128" s="15">
        <v>90</v>
      </c>
      <c r="AC128" s="15">
        <v>0.01</v>
      </c>
      <c r="AD128" s="75"/>
      <c r="AE128" s="108">
        <v>8.1</v>
      </c>
    </row>
    <row r="129" spans="1:31" ht="14">
      <c r="A129" s="164" t="s">
        <v>125</v>
      </c>
      <c r="B129" s="181">
        <v>4</v>
      </c>
      <c r="C129" s="181">
        <v>4</v>
      </c>
      <c r="D129" s="182" t="s">
        <v>3</v>
      </c>
      <c r="E129" s="131">
        <f t="shared" si="19"/>
        <v>2</v>
      </c>
      <c r="F129" s="131">
        <v>41.8</v>
      </c>
      <c r="G129" s="131">
        <f t="shared" si="39"/>
        <v>2.2130266666666665</v>
      </c>
      <c r="H129" s="131">
        <f>(G129+I129)/2</f>
        <v>1.4815133333333332</v>
      </c>
      <c r="I129" s="131">
        <v>0.75</v>
      </c>
      <c r="J129" s="131">
        <f t="shared" si="21"/>
        <v>0.42699999999999994</v>
      </c>
      <c r="K129" s="131">
        <f t="shared" si="22"/>
        <v>0.56933333333333325</v>
      </c>
      <c r="L129" s="131">
        <v>0.08</v>
      </c>
      <c r="M129" s="131">
        <v>0.4</v>
      </c>
      <c r="N129" s="131">
        <f t="shared" si="23"/>
        <v>0.20238805970149254</v>
      </c>
      <c r="O129" s="131">
        <f t="shared" si="37"/>
        <v>1.3931335404362779</v>
      </c>
      <c r="P129" s="131">
        <f t="shared" si="36"/>
        <v>2.9028255186838652E-2</v>
      </c>
      <c r="Q129" s="131">
        <f t="shared" si="25"/>
        <v>0.66666666666666674</v>
      </c>
      <c r="R129" s="131">
        <v>40.5</v>
      </c>
      <c r="S129" s="131">
        <v>0.435</v>
      </c>
      <c r="T129" s="131">
        <f t="shared" si="42"/>
        <v>0.42000000000000004</v>
      </c>
      <c r="U129" s="131">
        <v>0.70499999999999996</v>
      </c>
      <c r="V129" s="131">
        <v>0.6</v>
      </c>
      <c r="W129" s="131">
        <f>(V129+U129+J129)/3</f>
        <v>0.57733333333333325</v>
      </c>
      <c r="X129" s="131">
        <f>-57/114</f>
        <v>-0.5</v>
      </c>
      <c r="Y129" s="131">
        <f>X129</f>
        <v>-0.5</v>
      </c>
      <c r="Z129" s="131">
        <f t="shared" si="38"/>
        <v>90.601380726197974</v>
      </c>
      <c r="AA129" s="15">
        <v>30.9</v>
      </c>
      <c r="AB129" s="15">
        <v>46</v>
      </c>
      <c r="AC129" s="15">
        <v>27</v>
      </c>
      <c r="AD129" s="75"/>
      <c r="AE129" s="15">
        <v>4.24</v>
      </c>
    </row>
    <row r="130" spans="1:31" ht="14">
      <c r="A130" s="164" t="s">
        <v>126</v>
      </c>
      <c r="B130" s="181">
        <v>5</v>
      </c>
      <c r="C130" s="181">
        <v>4</v>
      </c>
      <c r="D130" s="182" t="s">
        <v>3</v>
      </c>
      <c r="E130" s="131">
        <f t="shared" si="19"/>
        <v>2.166666666666667</v>
      </c>
      <c r="F130" s="131">
        <v>28.5</v>
      </c>
      <c r="G130" s="131">
        <f t="shared" si="39"/>
        <v>1.1907000000000001</v>
      </c>
      <c r="H130" s="131">
        <f>(G130+I130)/2</f>
        <v>0.97035000000000005</v>
      </c>
      <c r="I130" s="131">
        <v>0.75</v>
      </c>
      <c r="J130" s="131">
        <f t="shared" si="21"/>
        <v>0.66200000000000003</v>
      </c>
      <c r="K130" s="131">
        <f t="shared" si="22"/>
        <v>0.88266666666666671</v>
      </c>
      <c r="L130" s="131">
        <v>0.06</v>
      </c>
      <c r="M130" s="131">
        <v>0.2</v>
      </c>
      <c r="N130" s="131">
        <f t="shared" si="23"/>
        <v>0.1017910447761194</v>
      </c>
      <c r="O130" s="131">
        <f t="shared" si="37"/>
        <v>2.2347298993735114</v>
      </c>
      <c r="P130" s="131">
        <f t="shared" si="36"/>
        <v>3.8066035088500517E-2</v>
      </c>
      <c r="Q130" s="131">
        <f t="shared" si="25"/>
        <v>0.61111111111111094</v>
      </c>
      <c r="R130" s="131">
        <v>34</v>
      </c>
      <c r="S130" s="131">
        <v>0.75900000000000001</v>
      </c>
      <c r="T130" s="131">
        <f t="shared" si="42"/>
        <v>0.54949999999999999</v>
      </c>
      <c r="U130" s="131"/>
      <c r="V130" s="131">
        <v>0.45</v>
      </c>
      <c r="W130" s="131">
        <f>(V130+K130)/2</f>
        <v>0.66633333333333333</v>
      </c>
      <c r="X130" s="131" t="s">
        <v>225</v>
      </c>
      <c r="Y130" s="131">
        <v>0.1</v>
      </c>
      <c r="Z130" s="131">
        <f t="shared" si="38"/>
        <v>69.090463293207662</v>
      </c>
      <c r="AA130" s="49">
        <v>10.5</v>
      </c>
      <c r="AB130" s="49">
        <v>5.2</v>
      </c>
      <c r="AC130" s="49">
        <v>17</v>
      </c>
      <c r="AD130" s="49"/>
      <c r="AE130" s="49">
        <v>8.99</v>
      </c>
    </row>
    <row r="131" spans="1:31" ht="14">
      <c r="A131" s="164" t="s">
        <v>127</v>
      </c>
      <c r="B131" s="181">
        <v>4</v>
      </c>
      <c r="C131" s="181">
        <v>4</v>
      </c>
      <c r="D131" s="182" t="s">
        <v>3</v>
      </c>
      <c r="E131" s="131">
        <f t="shared" si="19"/>
        <v>2</v>
      </c>
      <c r="F131" s="131">
        <v>32.4</v>
      </c>
      <c r="G131" s="131">
        <f t="shared" si="39"/>
        <v>1.4904799999999998</v>
      </c>
      <c r="H131" s="131">
        <f>(G131+I131)/2</f>
        <v>1.1202399999999999</v>
      </c>
      <c r="I131" s="131">
        <v>0.75</v>
      </c>
      <c r="J131" s="131">
        <f t="shared" si="21"/>
        <v>0.65300000000000002</v>
      </c>
      <c r="K131" s="131">
        <f t="shared" si="22"/>
        <v>0.8706666666666667</v>
      </c>
      <c r="L131" s="131">
        <v>0.73</v>
      </c>
      <c r="M131" s="131">
        <v>0.6</v>
      </c>
      <c r="N131" s="131">
        <f t="shared" si="23"/>
        <v>0.32179104477611942</v>
      </c>
      <c r="O131" s="131">
        <f t="shared" si="37"/>
        <v>1.8461661013785884</v>
      </c>
      <c r="P131" s="131">
        <f t="shared" si="36"/>
        <v>2.577341932914724E-2</v>
      </c>
      <c r="Q131" s="131">
        <f t="shared" si="25"/>
        <v>0.66666666666666674</v>
      </c>
      <c r="R131" s="131">
        <v>43.7</v>
      </c>
      <c r="S131" s="131">
        <f>1-0.423</f>
        <v>0.57699999999999996</v>
      </c>
      <c r="T131" s="131">
        <f t="shared" si="42"/>
        <v>0.50700000000000001</v>
      </c>
      <c r="U131" s="131">
        <v>0.17599999999999999</v>
      </c>
      <c r="V131" s="131">
        <f>1-0.69</f>
        <v>0.31000000000000005</v>
      </c>
      <c r="W131" s="131">
        <f>(V131+U131+J131)/3</f>
        <v>0.37966666666666665</v>
      </c>
      <c r="X131" s="131">
        <v>3.3000000000000002E-2</v>
      </c>
      <c r="Y131" s="131">
        <f>X131</f>
        <v>3.3000000000000002E-2</v>
      </c>
      <c r="Z131" s="131">
        <f t="shared" si="38"/>
        <v>102.04311528915858</v>
      </c>
      <c r="AA131" s="57" t="s">
        <v>223</v>
      </c>
      <c r="AB131" s="57">
        <v>6.5</v>
      </c>
      <c r="AC131" s="57">
        <v>4.4000000000000004</v>
      </c>
      <c r="AD131" s="57"/>
      <c r="AE131" s="57">
        <v>9.26</v>
      </c>
    </row>
    <row r="132" spans="1:31" ht="14">
      <c r="A132" s="164" t="s">
        <v>128</v>
      </c>
      <c r="B132" s="181">
        <v>7</v>
      </c>
      <c r="C132" s="181">
        <v>7</v>
      </c>
      <c r="D132" s="182" t="s">
        <v>4</v>
      </c>
      <c r="E132" s="131">
        <f t="shared" ref="E132:E195" si="43">1+(-2+B132+C132)/6</f>
        <v>3</v>
      </c>
      <c r="F132" s="131"/>
      <c r="G132" s="131">
        <f t="shared" si="39"/>
        <v>-1</v>
      </c>
      <c r="H132" s="131">
        <v>1</v>
      </c>
      <c r="I132" s="131">
        <v>1</v>
      </c>
      <c r="J132" s="131">
        <f t="shared" ref="J132:J195" si="44">1-AE135/10</f>
        <v>0.89200000000000002</v>
      </c>
      <c r="K132" s="131">
        <f t="shared" ref="K132:K195" si="45">4*J132/3</f>
        <v>1.1893333333333334</v>
      </c>
      <c r="L132" s="131">
        <v>0</v>
      </c>
      <c r="M132" s="131">
        <v>0.2</v>
      </c>
      <c r="N132" s="131">
        <f t="shared" ref="N132:N195" si="46">(L132/16.75+M132)/2</f>
        <v>0.1</v>
      </c>
      <c r="O132" s="131">
        <f t="shared" si="37"/>
        <v>2.5384548154835338</v>
      </c>
      <c r="P132" s="131">
        <f t="shared" ref="P132:P163" si="47">2.63/Z132</f>
        <v>2.7366625353309631E-3</v>
      </c>
      <c r="Q132" s="131">
        <f t="shared" ref="Q132:Q195" si="48">1-(E132-1)/3</f>
        <v>0.33333333333333337</v>
      </c>
      <c r="R132" s="131" t="s">
        <v>223</v>
      </c>
      <c r="S132" s="184">
        <v>0.9</v>
      </c>
      <c r="T132" s="131">
        <f>S132</f>
        <v>0.9</v>
      </c>
      <c r="U132" s="131" t="s">
        <v>223</v>
      </c>
      <c r="V132" s="131">
        <v>0.6</v>
      </c>
      <c r="W132" s="131">
        <f>(V132+K132)/2</f>
        <v>0.89466666666666672</v>
      </c>
      <c r="X132" s="131" t="s">
        <v>223</v>
      </c>
      <c r="Y132" s="131">
        <v>1</v>
      </c>
      <c r="Z132" s="131">
        <f t="shared" si="38"/>
        <v>961.02459329423175</v>
      </c>
      <c r="AA132" s="53">
        <v>46.2</v>
      </c>
      <c r="AB132" s="53">
        <v>7.3</v>
      </c>
      <c r="AC132" s="53">
        <v>5.8</v>
      </c>
      <c r="AD132" s="75"/>
      <c r="AE132" s="53">
        <v>5.73</v>
      </c>
    </row>
    <row r="133" spans="1:31" ht="14">
      <c r="A133" s="164" t="s">
        <v>129</v>
      </c>
      <c r="B133" s="181">
        <v>1</v>
      </c>
      <c r="C133" s="181">
        <v>1</v>
      </c>
      <c r="D133" s="182" t="s">
        <v>8</v>
      </c>
      <c r="E133" s="131">
        <f t="shared" si="43"/>
        <v>1</v>
      </c>
      <c r="F133" s="131">
        <v>21</v>
      </c>
      <c r="G133" s="131">
        <f t="shared" si="39"/>
        <v>0.61420000000000008</v>
      </c>
      <c r="H133" s="131">
        <f>(G133+I133)/2</f>
        <v>0.68210000000000004</v>
      </c>
      <c r="I133" s="131">
        <v>0.75</v>
      </c>
      <c r="J133" s="131">
        <f t="shared" si="44"/>
        <v>1.9999999999999907E-2</v>
      </c>
      <c r="K133" s="131">
        <f t="shared" si="45"/>
        <v>2.6666666666666543E-2</v>
      </c>
      <c r="L133" s="131">
        <v>0.78</v>
      </c>
      <c r="M133" s="131">
        <v>0.4</v>
      </c>
      <c r="N133" s="131">
        <f t="shared" si="46"/>
        <v>0.22328358208955226</v>
      </c>
      <c r="O133" s="131">
        <f t="shared" ref="O133:O164" si="49">EXP(Q133*(Y133+W133+T133))</f>
        <v>2.0055227739391115</v>
      </c>
      <c r="P133" s="131">
        <f t="shared" si="47"/>
        <v>1.0355509432761225</v>
      </c>
      <c r="Q133" s="131">
        <f t="shared" si="48"/>
        <v>1</v>
      </c>
      <c r="R133" s="131">
        <v>25</v>
      </c>
      <c r="S133" s="131">
        <f>1-0.938</f>
        <v>6.2000000000000055E-2</v>
      </c>
      <c r="T133" s="131">
        <f>(R133/100+S133)/2</f>
        <v>0.15600000000000003</v>
      </c>
      <c r="U133" s="131">
        <v>0.48399999999999999</v>
      </c>
      <c r="V133" s="131">
        <v>0.83</v>
      </c>
      <c r="W133" s="131">
        <f>(V133+U133+J133)/3</f>
        <v>0.44466666666666671</v>
      </c>
      <c r="X133" s="131">
        <f>10/105</f>
        <v>9.5238095238095233E-2</v>
      </c>
      <c r="Y133" s="131">
        <f>X133</f>
        <v>9.5238095238095233E-2</v>
      </c>
      <c r="Z133" s="131">
        <f t="shared" ref="Z133:Z164" si="50">EXP(E133*(H133+K133+N133))</f>
        <v>2.5397108824792296</v>
      </c>
      <c r="AA133" s="15">
        <v>63</v>
      </c>
      <c r="AB133" s="15"/>
      <c r="AC133" s="15">
        <v>16.274000000000001</v>
      </c>
      <c r="AD133" s="75"/>
      <c r="AE133" s="15">
        <v>3.38</v>
      </c>
    </row>
    <row r="134" spans="1:31" ht="14">
      <c r="A134" s="164" t="s">
        <v>130</v>
      </c>
      <c r="B134" s="181">
        <v>6</v>
      </c>
      <c r="C134" s="181">
        <v>5</v>
      </c>
      <c r="D134" s="182" t="s">
        <v>4</v>
      </c>
      <c r="E134" s="131">
        <f t="shared" si="43"/>
        <v>2.5</v>
      </c>
      <c r="F134" s="131"/>
      <c r="G134" s="131">
        <f t="shared" si="39"/>
        <v>-1</v>
      </c>
      <c r="H134" s="131">
        <v>0.75</v>
      </c>
      <c r="I134" s="131">
        <v>0.75</v>
      </c>
      <c r="J134" s="131">
        <f t="shared" si="44"/>
        <v>0.71399999999999997</v>
      </c>
      <c r="K134" s="131">
        <f t="shared" si="45"/>
        <v>0.95199999999999996</v>
      </c>
      <c r="L134" s="131">
        <v>0.12</v>
      </c>
      <c r="M134" s="131">
        <v>0.2</v>
      </c>
      <c r="N134" s="131">
        <f t="shared" si="46"/>
        <v>0.10358208955223881</v>
      </c>
      <c r="O134" s="131">
        <f t="shared" si="49"/>
        <v>1.941899594976463</v>
      </c>
      <c r="P134" s="131">
        <f t="shared" si="47"/>
        <v>2.8811767610954355E-2</v>
      </c>
      <c r="Q134" s="131">
        <f t="shared" si="48"/>
        <v>0.5</v>
      </c>
      <c r="R134" s="131"/>
      <c r="S134" s="184">
        <v>0.79</v>
      </c>
      <c r="T134" s="131">
        <f>S134</f>
        <v>0.79</v>
      </c>
      <c r="U134" s="131">
        <v>3.7999999999999999E-2</v>
      </c>
      <c r="V134" s="131">
        <v>0.56000000000000005</v>
      </c>
      <c r="W134" s="131">
        <f>(V134+U134+J134)/3</f>
        <v>0.43733333333333335</v>
      </c>
      <c r="X134" s="131" t="s">
        <v>225</v>
      </c>
      <c r="Y134" s="131">
        <v>0.1</v>
      </c>
      <c r="Z134" s="131">
        <f t="shared" si="50"/>
        <v>91.282146778112391</v>
      </c>
      <c r="AA134" s="15">
        <v>70</v>
      </c>
      <c r="AB134" s="15">
        <v>21</v>
      </c>
      <c r="AC134" s="15">
        <v>123</v>
      </c>
      <c r="AD134" s="75"/>
      <c r="AE134" s="15">
        <v>3.47</v>
      </c>
    </row>
    <row r="135" spans="1:31" ht="14">
      <c r="A135" s="164" t="s">
        <v>131</v>
      </c>
      <c r="B135" s="181">
        <v>4</v>
      </c>
      <c r="C135" s="181">
        <v>5</v>
      </c>
      <c r="D135" s="182" t="s">
        <v>3</v>
      </c>
      <c r="E135" s="131">
        <f t="shared" si="43"/>
        <v>2.166666666666667</v>
      </c>
      <c r="F135" s="131">
        <v>39.299999999999997</v>
      </c>
      <c r="G135" s="131">
        <f t="shared" si="39"/>
        <v>2.0208599999999999</v>
      </c>
      <c r="H135" s="131">
        <f>(G135+I135)/2</f>
        <v>1.3854299999999999</v>
      </c>
      <c r="I135" s="131">
        <v>0.75</v>
      </c>
      <c r="J135" s="131">
        <f t="shared" si="44"/>
        <v>0.54500000000000004</v>
      </c>
      <c r="K135" s="131">
        <f t="shared" si="45"/>
        <v>0.72666666666666668</v>
      </c>
      <c r="L135" s="131">
        <v>0.44</v>
      </c>
      <c r="M135" s="131">
        <v>0.6</v>
      </c>
      <c r="N135" s="131">
        <f t="shared" si="46"/>
        <v>0.31313432835820892</v>
      </c>
      <c r="O135" s="131">
        <f t="shared" si="49"/>
        <v>1.8455008009819778</v>
      </c>
      <c r="P135" s="131">
        <f t="shared" si="47"/>
        <v>1.3736712170851005E-2</v>
      </c>
      <c r="Q135" s="131">
        <f t="shared" si="48"/>
        <v>0.61111111111111094</v>
      </c>
      <c r="R135" s="131">
        <v>30.6</v>
      </c>
      <c r="S135" s="131">
        <f>1-0.49</f>
        <v>0.51</v>
      </c>
      <c r="T135" s="131">
        <f>(R135/100+S135)/2</f>
        <v>0.40800000000000003</v>
      </c>
      <c r="U135" s="131">
        <v>0.60099999999999998</v>
      </c>
      <c r="V135" s="131">
        <f>1-0.24</f>
        <v>0.76</v>
      </c>
      <c r="W135" s="131">
        <f>(V135+U135+J135)/3</f>
        <v>0.63533333333333342</v>
      </c>
      <c r="X135" s="131">
        <f>-5/123</f>
        <v>-4.065040650406504E-2</v>
      </c>
      <c r="Y135" s="131">
        <f>X135</f>
        <v>-4.065040650406504E-2</v>
      </c>
      <c r="Z135" s="131">
        <f t="shared" si="50"/>
        <v>191.45774966303807</v>
      </c>
      <c r="AA135" s="115"/>
      <c r="AB135" s="115"/>
      <c r="AC135" s="115">
        <v>24</v>
      </c>
      <c r="AD135" s="115"/>
      <c r="AE135" s="115">
        <v>1.08</v>
      </c>
    </row>
    <row r="136" spans="1:31" ht="14">
      <c r="A136" s="164" t="s">
        <v>132</v>
      </c>
      <c r="B136" s="181">
        <v>1</v>
      </c>
      <c r="C136" s="181">
        <v>1</v>
      </c>
      <c r="D136" s="182" t="s">
        <v>8</v>
      </c>
      <c r="E136" s="131">
        <f t="shared" si="43"/>
        <v>1</v>
      </c>
      <c r="F136" s="131"/>
      <c r="G136" s="131">
        <f t="shared" si="39"/>
        <v>-1</v>
      </c>
      <c r="H136" s="131">
        <v>0.75</v>
      </c>
      <c r="I136" s="131">
        <v>0.75</v>
      </c>
      <c r="J136" s="131">
        <f t="shared" si="44"/>
        <v>0.19000000000000006</v>
      </c>
      <c r="K136" s="131">
        <f t="shared" si="45"/>
        <v>0.25333333333333341</v>
      </c>
      <c r="L136" s="131">
        <v>0.03</v>
      </c>
      <c r="M136" s="131">
        <v>0.2</v>
      </c>
      <c r="N136" s="131">
        <f t="shared" si="46"/>
        <v>0.10089552238805971</v>
      </c>
      <c r="O136" s="131">
        <f t="shared" si="49"/>
        <v>1.8251581971849244</v>
      </c>
      <c r="P136" s="131">
        <f t="shared" si="47"/>
        <v>0.87175661128523652</v>
      </c>
      <c r="Q136" s="131">
        <f t="shared" si="48"/>
        <v>1</v>
      </c>
      <c r="R136" s="131"/>
      <c r="S136" s="184">
        <v>0.15</v>
      </c>
      <c r="T136" s="131">
        <f>S136</f>
        <v>0.15</v>
      </c>
      <c r="U136" s="131"/>
      <c r="V136" s="131">
        <v>0.45</v>
      </c>
      <c r="W136" s="131">
        <f>(V136+K136)/2</f>
        <v>0.35166666666666668</v>
      </c>
      <c r="X136" s="131" t="s">
        <v>223</v>
      </c>
      <c r="Y136" s="131">
        <v>0.1</v>
      </c>
      <c r="Z136" s="131">
        <f t="shared" si="50"/>
        <v>3.0168971086122003</v>
      </c>
      <c r="AA136" s="70" t="s">
        <v>223</v>
      </c>
      <c r="AB136" s="70">
        <v>3.4</v>
      </c>
      <c r="AC136" s="70">
        <v>5</v>
      </c>
      <c r="AD136" s="70"/>
      <c r="AE136" s="143">
        <v>9.8000000000000007</v>
      </c>
    </row>
    <row r="137" spans="1:31" ht="14">
      <c r="A137" s="164" t="s">
        <v>133</v>
      </c>
      <c r="B137" s="181">
        <v>1</v>
      </c>
      <c r="C137" s="181">
        <v>2</v>
      </c>
      <c r="D137" s="182" t="s">
        <v>8</v>
      </c>
      <c r="E137" s="131">
        <f t="shared" si="43"/>
        <v>1.1666666666666667</v>
      </c>
      <c r="F137" s="131">
        <v>40.6</v>
      </c>
      <c r="G137" s="131">
        <f t="shared" si="39"/>
        <v>2.120786666666667</v>
      </c>
      <c r="H137" s="131">
        <f t="shared" ref="H137:H147" si="51">(G137+I137)/2</f>
        <v>1.4353933333333335</v>
      </c>
      <c r="I137" s="131">
        <v>0.75</v>
      </c>
      <c r="J137" s="131">
        <f t="shared" si="44"/>
        <v>0.28499999999999992</v>
      </c>
      <c r="K137" s="131">
        <f t="shared" si="45"/>
        <v>0.37999999999999989</v>
      </c>
      <c r="L137" s="131">
        <v>0.11</v>
      </c>
      <c r="M137" s="131">
        <v>0.2</v>
      </c>
      <c r="N137" s="131">
        <f t="shared" si="46"/>
        <v>0.10328358208955224</v>
      </c>
      <c r="O137" s="131">
        <f t="shared" si="49"/>
        <v>2.8110051238137981</v>
      </c>
      <c r="P137" s="131">
        <f t="shared" si="47"/>
        <v>0.28041838606195124</v>
      </c>
      <c r="Q137" s="131">
        <f t="shared" si="48"/>
        <v>0.94444444444444442</v>
      </c>
      <c r="R137" s="131">
        <v>30.6</v>
      </c>
      <c r="S137" s="131">
        <f>1-0.755</f>
        <v>0.245</v>
      </c>
      <c r="T137" s="131">
        <f t="shared" ref="T137:T147" si="52">(R137/100+S137)/2</f>
        <v>0.27549999999999997</v>
      </c>
      <c r="U137" s="131">
        <v>0.41699999999999998</v>
      </c>
      <c r="V137" s="131">
        <v>-0.06</v>
      </c>
      <c r="W137" s="131">
        <f t="shared" ref="W137:W146" si="53">(V137+U137+J137)/3</f>
        <v>0.21399999999999997</v>
      </c>
      <c r="X137" s="131">
        <f>75/124</f>
        <v>0.60483870967741937</v>
      </c>
      <c r="Y137" s="131">
        <f>X137</f>
        <v>0.60483870967741937</v>
      </c>
      <c r="Z137" s="131">
        <f t="shared" si="50"/>
        <v>9.3788429387043433</v>
      </c>
      <c r="AA137" s="15" t="s">
        <v>223</v>
      </c>
      <c r="AB137" s="15">
        <v>15</v>
      </c>
      <c r="AC137" s="15">
        <v>2.7</v>
      </c>
      <c r="AD137" s="75"/>
      <c r="AE137" s="15">
        <v>2.86</v>
      </c>
    </row>
    <row r="138" spans="1:31" ht="14">
      <c r="A138" s="164" t="s">
        <v>134</v>
      </c>
      <c r="B138" s="181">
        <v>4</v>
      </c>
      <c r="C138" s="181">
        <v>3</v>
      </c>
      <c r="D138" s="182" t="s">
        <v>3</v>
      </c>
      <c r="E138" s="131">
        <f t="shared" si="43"/>
        <v>1.8333333333333335</v>
      </c>
      <c r="F138" s="131">
        <v>40.5</v>
      </c>
      <c r="G138" s="131">
        <f t="shared" si="39"/>
        <v>2.1131000000000002</v>
      </c>
      <c r="H138" s="131">
        <f t="shared" si="51"/>
        <v>1.4315500000000001</v>
      </c>
      <c r="I138" s="131">
        <v>0.75</v>
      </c>
      <c r="J138" s="131">
        <f t="shared" si="44"/>
        <v>0.34599999999999997</v>
      </c>
      <c r="K138" s="131">
        <f t="shared" si="45"/>
        <v>0.46133333333333332</v>
      </c>
      <c r="L138" s="131">
        <v>0.08</v>
      </c>
      <c r="M138" s="131">
        <v>0.2</v>
      </c>
      <c r="N138" s="131">
        <f t="shared" si="46"/>
        <v>0.10238805970149255</v>
      </c>
      <c r="O138" s="131">
        <f t="shared" si="49"/>
        <v>1.8636847111085764</v>
      </c>
      <c r="P138" s="131">
        <f t="shared" si="47"/>
        <v>6.7812162805884424E-2</v>
      </c>
      <c r="Q138" s="131">
        <f t="shared" si="48"/>
        <v>0.7222222222222221</v>
      </c>
      <c r="R138" s="131">
        <v>50.9</v>
      </c>
      <c r="S138" s="131">
        <v>0.56899999999999995</v>
      </c>
      <c r="T138" s="131">
        <f t="shared" si="52"/>
        <v>0.53899999999999992</v>
      </c>
      <c r="U138" s="131">
        <v>0.223</v>
      </c>
      <c r="V138" s="131">
        <v>0.1</v>
      </c>
      <c r="W138" s="131">
        <f t="shared" si="53"/>
        <v>0.223</v>
      </c>
      <c r="X138" s="131" t="s">
        <v>225</v>
      </c>
      <c r="Y138" s="131">
        <v>0.1</v>
      </c>
      <c r="Z138" s="131">
        <f t="shared" si="50"/>
        <v>38.783602987689704</v>
      </c>
      <c r="AA138" s="53">
        <v>22.3</v>
      </c>
      <c r="AB138" s="53">
        <v>5.6</v>
      </c>
      <c r="AC138" s="53">
        <v>178</v>
      </c>
      <c r="AD138" s="75"/>
      <c r="AE138" s="53">
        <v>4.55</v>
      </c>
    </row>
    <row r="139" spans="1:31" ht="14">
      <c r="A139" s="164" t="s">
        <v>135</v>
      </c>
      <c r="B139" s="181">
        <v>3</v>
      </c>
      <c r="C139" s="181">
        <v>3</v>
      </c>
      <c r="D139" s="182" t="s">
        <v>3</v>
      </c>
      <c r="E139" s="131">
        <f t="shared" si="43"/>
        <v>1.6666666666666665</v>
      </c>
      <c r="F139" s="131">
        <v>41</v>
      </c>
      <c r="G139" s="131">
        <f t="shared" si="39"/>
        <v>2.1515333333333335</v>
      </c>
      <c r="H139" s="131">
        <f t="shared" si="51"/>
        <v>1.4507666666666668</v>
      </c>
      <c r="I139" s="131">
        <v>0.75</v>
      </c>
      <c r="J139" s="131">
        <f t="shared" si="44"/>
        <v>0.36</v>
      </c>
      <c r="K139" s="131">
        <f t="shared" si="45"/>
        <v>0.48</v>
      </c>
      <c r="L139" s="131">
        <v>7.0000000000000007E-2</v>
      </c>
      <c r="M139" s="131">
        <v>0.2</v>
      </c>
      <c r="N139" s="131">
        <f t="shared" si="46"/>
        <v>0.10208955223880598</v>
      </c>
      <c r="O139" s="131">
        <f t="shared" si="49"/>
        <v>1.8483439505632235</v>
      </c>
      <c r="P139" s="131">
        <f t="shared" si="47"/>
        <v>8.8822982370939607E-2</v>
      </c>
      <c r="Q139" s="131">
        <f t="shared" si="48"/>
        <v>0.77777777777777779</v>
      </c>
      <c r="R139" s="131">
        <v>53.2</v>
      </c>
      <c r="S139" s="131">
        <v>0.36</v>
      </c>
      <c r="T139" s="131">
        <f t="shared" si="52"/>
        <v>0.44600000000000001</v>
      </c>
      <c r="U139" s="131">
        <v>0.17399999999999999</v>
      </c>
      <c r="V139" s="131">
        <v>0.36</v>
      </c>
      <c r="W139" s="131">
        <f t="shared" si="53"/>
        <v>0.29799999999999999</v>
      </c>
      <c r="X139" s="131">
        <f>6/131</f>
        <v>4.5801526717557252E-2</v>
      </c>
      <c r="Y139" s="131">
        <f>X139</f>
        <v>4.5801526717557252E-2</v>
      </c>
      <c r="Z139" s="131">
        <f t="shared" si="50"/>
        <v>29.60945388004065</v>
      </c>
      <c r="AA139" s="15" t="s">
        <v>223</v>
      </c>
      <c r="AB139" s="15">
        <v>4.2</v>
      </c>
      <c r="AC139" s="15">
        <v>2.1000000000000001E-2</v>
      </c>
      <c r="AD139" s="75"/>
      <c r="AE139" s="108">
        <v>8.1</v>
      </c>
    </row>
    <row r="140" spans="1:31" ht="14">
      <c r="A140" s="164" t="s">
        <v>136</v>
      </c>
      <c r="B140" s="181">
        <v>2</v>
      </c>
      <c r="C140" s="181">
        <v>3</v>
      </c>
      <c r="D140" s="182" t="s">
        <v>8</v>
      </c>
      <c r="E140" s="131">
        <f t="shared" si="43"/>
        <v>1.5</v>
      </c>
      <c r="F140" s="131">
        <v>35.9</v>
      </c>
      <c r="G140" s="131">
        <f t="shared" si="39"/>
        <v>1.759513333333333</v>
      </c>
      <c r="H140" s="131">
        <f t="shared" si="51"/>
        <v>1.2547566666666665</v>
      </c>
      <c r="I140" s="131">
        <v>0.75</v>
      </c>
      <c r="J140" s="131">
        <f t="shared" si="44"/>
        <v>0.36</v>
      </c>
      <c r="K140" s="131">
        <f t="shared" si="45"/>
        <v>0.48</v>
      </c>
      <c r="L140" s="131">
        <v>0.28000000000000003</v>
      </c>
      <c r="M140" s="131">
        <v>0.2</v>
      </c>
      <c r="N140" s="131">
        <f t="shared" si="46"/>
        <v>0.10835820895522388</v>
      </c>
      <c r="O140" s="131">
        <f t="shared" si="49"/>
        <v>2.6118431153441586</v>
      </c>
      <c r="P140" s="131">
        <f t="shared" si="47"/>
        <v>0.16568142396800392</v>
      </c>
      <c r="Q140" s="131">
        <f t="shared" si="48"/>
        <v>0.83333333333333337</v>
      </c>
      <c r="R140" s="131">
        <v>48</v>
      </c>
      <c r="S140" s="131">
        <f>1-0.723</f>
        <v>0.27700000000000002</v>
      </c>
      <c r="T140" s="131">
        <f t="shared" si="52"/>
        <v>0.3785</v>
      </c>
      <c r="U140" s="131">
        <v>0.219</v>
      </c>
      <c r="V140" s="131">
        <v>0.38</v>
      </c>
      <c r="W140" s="131">
        <f t="shared" si="53"/>
        <v>0.31966666666666665</v>
      </c>
      <c r="X140" s="131">
        <f>64/141</f>
        <v>0.45390070921985815</v>
      </c>
      <c r="Y140" s="131">
        <f>X140</f>
        <v>0.45390070921985815</v>
      </c>
      <c r="Z140" s="131">
        <f t="shared" si="50"/>
        <v>15.873837494949949</v>
      </c>
      <c r="AA140" s="107">
        <v>29</v>
      </c>
      <c r="AB140" s="107">
        <v>4.5</v>
      </c>
      <c r="AC140" s="107">
        <v>3.4</v>
      </c>
      <c r="AD140" s="107"/>
      <c r="AE140" s="107">
        <v>7.15</v>
      </c>
    </row>
    <row r="141" spans="1:31" ht="14">
      <c r="A141" s="164" t="s">
        <v>137</v>
      </c>
      <c r="B141" s="181">
        <v>3</v>
      </c>
      <c r="C141" s="181">
        <v>3</v>
      </c>
      <c r="D141" s="182" t="s">
        <v>3</v>
      </c>
      <c r="E141" s="131">
        <f t="shared" si="43"/>
        <v>1.6666666666666665</v>
      </c>
      <c r="F141" s="131">
        <v>31</v>
      </c>
      <c r="G141" s="131">
        <f t="shared" si="39"/>
        <v>1.3828666666666667</v>
      </c>
      <c r="H141" s="131">
        <f t="shared" si="51"/>
        <v>1.0664333333333333</v>
      </c>
      <c r="I141" s="131">
        <v>0.75</v>
      </c>
      <c r="J141" s="131">
        <f t="shared" si="44"/>
        <v>0.38800000000000001</v>
      </c>
      <c r="K141" s="131">
        <f t="shared" si="45"/>
        <v>0.51733333333333331</v>
      </c>
      <c r="L141" s="131">
        <v>0.43</v>
      </c>
      <c r="M141" s="131">
        <v>0.4</v>
      </c>
      <c r="N141" s="131">
        <f t="shared" si="46"/>
        <v>0.21283582089552239</v>
      </c>
      <c r="O141" s="131">
        <f t="shared" si="49"/>
        <v>1.9148638896043551</v>
      </c>
      <c r="P141" s="131">
        <f t="shared" si="47"/>
        <v>0.13168354342120459</v>
      </c>
      <c r="Q141" s="131">
        <f t="shared" si="48"/>
        <v>0.77777777777777779</v>
      </c>
      <c r="R141" s="131">
        <v>45.8</v>
      </c>
      <c r="S141" s="131">
        <f>1-0.638</f>
        <v>0.36199999999999999</v>
      </c>
      <c r="T141" s="131">
        <f t="shared" si="52"/>
        <v>0.41</v>
      </c>
      <c r="U141" s="131">
        <v>0.49399999999999999</v>
      </c>
      <c r="V141" s="131">
        <f>1-0.37</f>
        <v>0.63</v>
      </c>
      <c r="W141" s="131">
        <f t="shared" si="53"/>
        <v>0.504</v>
      </c>
      <c r="X141" s="131">
        <f>-1/12.7</f>
        <v>-7.874015748031496E-2</v>
      </c>
      <c r="Y141" s="131">
        <f>X141</f>
        <v>-7.874015748031496E-2</v>
      </c>
      <c r="Z141" s="131">
        <f t="shared" si="50"/>
        <v>19.972123559795545</v>
      </c>
      <c r="AA141" s="15">
        <v>37</v>
      </c>
      <c r="AB141" s="15">
        <v>1.9</v>
      </c>
      <c r="AC141" s="15">
        <v>7</v>
      </c>
      <c r="AD141" s="75"/>
      <c r="AE141" s="15">
        <v>6.54</v>
      </c>
    </row>
    <row r="142" spans="1:31" ht="14">
      <c r="A142" s="164" t="s">
        <v>138</v>
      </c>
      <c r="B142" s="181">
        <v>1</v>
      </c>
      <c r="C142" s="181">
        <v>1</v>
      </c>
      <c r="D142" s="182" t="s">
        <v>8</v>
      </c>
      <c r="E142" s="131">
        <f t="shared" si="43"/>
        <v>1</v>
      </c>
      <c r="F142" s="131">
        <v>27.2</v>
      </c>
      <c r="G142" s="131">
        <f t="shared" si="39"/>
        <v>1.0907733333333334</v>
      </c>
      <c r="H142" s="131">
        <f t="shared" si="51"/>
        <v>0.92038666666666669</v>
      </c>
      <c r="I142" s="131">
        <v>0.75</v>
      </c>
      <c r="J142" s="131">
        <f t="shared" si="44"/>
        <v>0.29500000000000004</v>
      </c>
      <c r="K142" s="131">
        <f t="shared" si="45"/>
        <v>0.39333333333333337</v>
      </c>
      <c r="L142" s="131">
        <v>0.7</v>
      </c>
      <c r="M142" s="131">
        <v>0.4</v>
      </c>
      <c r="N142" s="131">
        <f t="shared" si="46"/>
        <v>0.22089552238805971</v>
      </c>
      <c r="O142" s="131">
        <f t="shared" si="49"/>
        <v>2.2062837164129347</v>
      </c>
      <c r="P142" s="131">
        <f t="shared" si="47"/>
        <v>0.56686637331333778</v>
      </c>
      <c r="Q142" s="131">
        <f t="shared" si="48"/>
        <v>1</v>
      </c>
      <c r="R142" s="131">
        <v>34.200000000000003</v>
      </c>
      <c r="S142" s="131">
        <v>0.20499999999999999</v>
      </c>
      <c r="T142" s="131">
        <f t="shared" si="52"/>
        <v>0.27350000000000002</v>
      </c>
      <c r="U142" s="131">
        <v>0.56699999999999995</v>
      </c>
      <c r="V142" s="131">
        <v>0.62</v>
      </c>
      <c r="W142" s="131">
        <f t="shared" si="53"/>
        <v>0.49399999999999994</v>
      </c>
      <c r="X142" s="131">
        <f>3/126</f>
        <v>2.3809523809523808E-2</v>
      </c>
      <c r="Y142" s="131">
        <f>X142</f>
        <v>2.3809523809523808E-2</v>
      </c>
      <c r="Z142" s="131">
        <f t="shared" si="50"/>
        <v>4.639541387201418</v>
      </c>
      <c r="AA142" s="136">
        <v>18.8</v>
      </c>
      <c r="AB142" s="136">
        <v>6.6</v>
      </c>
      <c r="AC142" s="136">
        <v>6.33</v>
      </c>
      <c r="AD142" s="136"/>
      <c r="AE142" s="136">
        <v>6.4</v>
      </c>
    </row>
    <row r="143" spans="1:31" ht="14">
      <c r="A143" s="164" t="s">
        <v>139</v>
      </c>
      <c r="B143" s="181">
        <v>1</v>
      </c>
      <c r="C143" s="181">
        <v>1</v>
      </c>
      <c r="D143" s="182" t="s">
        <v>8</v>
      </c>
      <c r="E143" s="131">
        <f t="shared" si="43"/>
        <v>1</v>
      </c>
      <c r="F143" s="131">
        <v>28.4</v>
      </c>
      <c r="G143" s="131">
        <f t="shared" si="39"/>
        <v>1.1830133333333333</v>
      </c>
      <c r="H143" s="131">
        <f t="shared" si="51"/>
        <v>1.0915066666666666</v>
      </c>
      <c r="I143" s="131">
        <v>1</v>
      </c>
      <c r="J143" s="131">
        <f t="shared" si="44"/>
        <v>0.19800000000000006</v>
      </c>
      <c r="K143" s="131">
        <f t="shared" si="45"/>
        <v>0.26400000000000007</v>
      </c>
      <c r="L143" s="131">
        <v>0.44</v>
      </c>
      <c r="M143" s="131">
        <v>0.4</v>
      </c>
      <c r="N143" s="131">
        <f t="shared" si="46"/>
        <v>0.21313432835820897</v>
      </c>
      <c r="O143" s="131">
        <f t="shared" si="49"/>
        <v>2.9819651344489926</v>
      </c>
      <c r="P143" s="131">
        <f t="shared" si="47"/>
        <v>0.54790292667186169</v>
      </c>
      <c r="Q143" s="131">
        <f t="shared" si="48"/>
        <v>1</v>
      </c>
      <c r="R143" s="131">
        <v>38.5</v>
      </c>
      <c r="S143" s="131">
        <v>0.20499999999999999</v>
      </c>
      <c r="T143" s="131">
        <f t="shared" si="52"/>
        <v>0.29499999999999998</v>
      </c>
      <c r="U143" s="131">
        <v>1.0329999999999999</v>
      </c>
      <c r="V143" s="131">
        <v>1.22</v>
      </c>
      <c r="W143" s="131">
        <f t="shared" si="53"/>
        <v>0.81700000000000006</v>
      </c>
      <c r="X143" s="131">
        <f>-2/103</f>
        <v>-1.9417475728155338E-2</v>
      </c>
      <c r="Y143" s="131">
        <f>X143</f>
        <v>-1.9417475728155338E-2</v>
      </c>
      <c r="Z143" s="131">
        <f t="shared" si="50"/>
        <v>4.800120371642226</v>
      </c>
      <c r="AA143" s="107">
        <v>34.799999999999997</v>
      </c>
      <c r="AB143" s="107">
        <v>6.8</v>
      </c>
      <c r="AC143" s="107">
        <v>31</v>
      </c>
      <c r="AD143" s="107"/>
      <c r="AE143" s="107">
        <v>6.4</v>
      </c>
    </row>
    <row r="144" spans="1:31" ht="14">
      <c r="A144" s="164" t="s">
        <v>140</v>
      </c>
      <c r="B144" s="181">
        <v>6</v>
      </c>
      <c r="C144" s="181">
        <v>5</v>
      </c>
      <c r="D144" s="182" t="s">
        <v>4</v>
      </c>
      <c r="E144" s="131">
        <f t="shared" si="43"/>
        <v>2.5</v>
      </c>
      <c r="F144" s="131">
        <v>35.9</v>
      </c>
      <c r="G144" s="131">
        <f t="shared" si="39"/>
        <v>1.759513333333333</v>
      </c>
      <c r="H144" s="131">
        <f t="shared" si="51"/>
        <v>1.2547566666666665</v>
      </c>
      <c r="I144" s="131">
        <v>0.75</v>
      </c>
      <c r="J144" s="131">
        <f t="shared" si="44"/>
        <v>0.69100000000000006</v>
      </c>
      <c r="K144" s="131">
        <f t="shared" si="45"/>
        <v>0.92133333333333345</v>
      </c>
      <c r="L144" s="131">
        <v>0.15</v>
      </c>
      <c r="M144" s="131">
        <v>0.2</v>
      </c>
      <c r="N144" s="131">
        <f t="shared" si="46"/>
        <v>0.10447761194029852</v>
      </c>
      <c r="O144" s="131">
        <f t="shared" si="49"/>
        <v>1.8136353893436106</v>
      </c>
      <c r="P144" s="131">
        <f t="shared" si="47"/>
        <v>8.787410703498073E-3</v>
      </c>
      <c r="Q144" s="131">
        <f t="shared" si="48"/>
        <v>0.5</v>
      </c>
      <c r="R144" s="131">
        <v>41.1</v>
      </c>
      <c r="S144" s="131">
        <f>1-0.803</f>
        <v>0.19699999999999995</v>
      </c>
      <c r="T144" s="131">
        <f t="shared" si="52"/>
        <v>0.30399999999999999</v>
      </c>
      <c r="U144" s="131">
        <v>8.8999999999999996E-2</v>
      </c>
      <c r="V144" s="131">
        <v>1.58</v>
      </c>
      <c r="W144" s="131">
        <f t="shared" si="53"/>
        <v>0.78666666666666674</v>
      </c>
      <c r="X144" s="131" t="s">
        <v>225</v>
      </c>
      <c r="Y144" s="131">
        <v>0.1</v>
      </c>
      <c r="Z144" s="131">
        <f t="shared" si="50"/>
        <v>299.29180377936075</v>
      </c>
      <c r="AA144" s="25">
        <v>32.9</v>
      </c>
      <c r="AB144" s="25">
        <v>7.2</v>
      </c>
      <c r="AC144" s="25">
        <v>92</v>
      </c>
      <c r="AD144" s="25"/>
      <c r="AE144" s="25">
        <v>6.12</v>
      </c>
    </row>
    <row r="145" spans="1:31" ht="14">
      <c r="A145" s="164" t="s">
        <v>141</v>
      </c>
      <c r="B145" s="181">
        <v>2</v>
      </c>
      <c r="C145" s="181">
        <v>2</v>
      </c>
      <c r="D145" s="182" t="s">
        <v>8</v>
      </c>
      <c r="E145" s="131">
        <f t="shared" si="43"/>
        <v>1.3333333333333333</v>
      </c>
      <c r="F145" s="131">
        <v>24.5</v>
      </c>
      <c r="G145" s="131">
        <f t="shared" si="39"/>
        <v>0.88323333333333331</v>
      </c>
      <c r="H145" s="131">
        <f t="shared" si="51"/>
        <v>0.81661666666666666</v>
      </c>
      <c r="I145" s="131">
        <v>0.75</v>
      </c>
      <c r="J145" s="131">
        <f t="shared" si="44"/>
        <v>0.34000000000000008</v>
      </c>
      <c r="K145" s="131">
        <f t="shared" si="45"/>
        <v>0.45333333333333342</v>
      </c>
      <c r="L145" s="131">
        <v>0.44</v>
      </c>
      <c r="M145" s="131">
        <v>0.4</v>
      </c>
      <c r="N145" s="131">
        <f t="shared" si="46"/>
        <v>0.21313432835820897</v>
      </c>
      <c r="O145" s="131">
        <f t="shared" si="49"/>
        <v>2.2837029170853715</v>
      </c>
      <c r="P145" s="131">
        <f t="shared" si="47"/>
        <v>0.36405077658748697</v>
      </c>
      <c r="Q145" s="131">
        <f t="shared" si="48"/>
        <v>0.88888888888888895</v>
      </c>
      <c r="R145" s="131">
        <v>33.299999999999997</v>
      </c>
      <c r="S145" s="131">
        <f>1-0.767</f>
        <v>0.23299999999999998</v>
      </c>
      <c r="T145" s="131">
        <f t="shared" si="52"/>
        <v>0.28299999999999997</v>
      </c>
      <c r="U145" s="131">
        <v>0.38600000000000001</v>
      </c>
      <c r="V145" s="131">
        <v>0.85</v>
      </c>
      <c r="W145" s="131">
        <f t="shared" si="53"/>
        <v>0.52533333333333332</v>
      </c>
      <c r="X145" s="131">
        <f>14/116</f>
        <v>0.1206896551724138</v>
      </c>
      <c r="Y145" s="131">
        <f>X145</f>
        <v>0.1206896551724138</v>
      </c>
      <c r="Z145" s="131">
        <f t="shared" si="50"/>
        <v>7.2242669680666669</v>
      </c>
      <c r="AA145" s="49">
        <v>17</v>
      </c>
      <c r="AB145" s="49">
        <v>12</v>
      </c>
      <c r="AC145" s="49">
        <v>39</v>
      </c>
      <c r="AD145" s="49"/>
      <c r="AE145" s="49">
        <v>7.05</v>
      </c>
    </row>
    <row r="146" spans="1:31" ht="14">
      <c r="A146" s="164" t="s">
        <v>142</v>
      </c>
      <c r="B146" s="181">
        <v>6</v>
      </c>
      <c r="C146" s="181">
        <v>5</v>
      </c>
      <c r="D146" s="182" t="s">
        <v>4</v>
      </c>
      <c r="E146" s="131">
        <f t="shared" si="43"/>
        <v>2.5</v>
      </c>
      <c r="F146" s="131">
        <v>33.5</v>
      </c>
      <c r="G146" s="131">
        <f t="shared" si="39"/>
        <v>1.5750333333333333</v>
      </c>
      <c r="H146" s="131">
        <f t="shared" si="51"/>
        <v>1.2875166666666666</v>
      </c>
      <c r="I146" s="131">
        <v>1</v>
      </c>
      <c r="J146" s="131">
        <f t="shared" si="44"/>
        <v>0.57400000000000007</v>
      </c>
      <c r="K146" s="131">
        <f t="shared" si="45"/>
        <v>0.76533333333333342</v>
      </c>
      <c r="L146" s="131">
        <v>2.39</v>
      </c>
      <c r="M146" s="131">
        <v>0.8</v>
      </c>
      <c r="N146" s="131">
        <f t="shared" si="46"/>
        <v>0.47134328358208955</v>
      </c>
      <c r="O146" s="131">
        <f t="shared" si="49"/>
        <v>1.6611918235272776</v>
      </c>
      <c r="P146" s="131">
        <f t="shared" si="47"/>
        <v>4.7791175486953229E-3</v>
      </c>
      <c r="Q146" s="131">
        <f t="shared" si="48"/>
        <v>0.5</v>
      </c>
      <c r="R146" s="131">
        <v>42</v>
      </c>
      <c r="S146" s="131">
        <f>1-0.719</f>
        <v>0.28100000000000003</v>
      </c>
      <c r="T146" s="131">
        <f t="shared" si="52"/>
        <v>0.35050000000000003</v>
      </c>
      <c r="U146" s="131">
        <v>8.6999999999999994E-2</v>
      </c>
      <c r="V146" s="131">
        <v>0.56999999999999995</v>
      </c>
      <c r="W146" s="131">
        <f t="shared" si="53"/>
        <v>0.41033333333333327</v>
      </c>
      <c r="X146" s="131">
        <f>30/118</f>
        <v>0.25423728813559321</v>
      </c>
      <c r="Y146" s="131">
        <f>X146</f>
        <v>0.25423728813559321</v>
      </c>
      <c r="Z146" s="131">
        <f t="shared" si="50"/>
        <v>550.31079968266897</v>
      </c>
      <c r="AA146" s="39">
        <v>18</v>
      </c>
      <c r="AB146" s="39">
        <v>12.4</v>
      </c>
      <c r="AC146" s="39">
        <v>10.58</v>
      </c>
      <c r="AD146" s="39"/>
      <c r="AE146" s="39">
        <v>8.02</v>
      </c>
    </row>
    <row r="147" spans="1:31" ht="14">
      <c r="A147" s="164" t="s">
        <v>143</v>
      </c>
      <c r="B147" s="181">
        <v>6</v>
      </c>
      <c r="C147" s="181">
        <v>5</v>
      </c>
      <c r="D147" s="182" t="s">
        <v>4</v>
      </c>
      <c r="E147" s="131">
        <f t="shared" si="43"/>
        <v>2.5</v>
      </c>
      <c r="F147" s="131">
        <v>38.200000000000003</v>
      </c>
      <c r="G147" s="131">
        <f t="shared" si="39"/>
        <v>1.9363066666666668</v>
      </c>
      <c r="H147" s="131">
        <f t="shared" si="51"/>
        <v>1.3431533333333334</v>
      </c>
      <c r="I147" s="131">
        <v>0.75</v>
      </c>
      <c r="J147" s="131">
        <f t="shared" si="44"/>
        <v>0.67500000000000004</v>
      </c>
      <c r="K147" s="131">
        <f t="shared" si="45"/>
        <v>0.9</v>
      </c>
      <c r="L147" s="131">
        <v>0.06</v>
      </c>
      <c r="M147" s="131">
        <v>0.2</v>
      </c>
      <c r="N147" s="131">
        <f t="shared" si="46"/>
        <v>0.1017910447761194</v>
      </c>
      <c r="O147" s="131">
        <f t="shared" si="49"/>
        <v>1.8603227608319688</v>
      </c>
      <c r="P147" s="131">
        <f t="shared" si="47"/>
        <v>7.481087580638833E-3</v>
      </c>
      <c r="Q147" s="131">
        <f t="shared" si="48"/>
        <v>0.5</v>
      </c>
      <c r="R147" s="131">
        <v>46.8</v>
      </c>
      <c r="S147" s="131">
        <v>0.61499999999999999</v>
      </c>
      <c r="T147" s="131">
        <f t="shared" si="52"/>
        <v>0.54149999999999998</v>
      </c>
      <c r="U147" s="131"/>
      <c r="V147" s="131">
        <v>0.3</v>
      </c>
      <c r="W147" s="131">
        <f>(V147+K147)/2</f>
        <v>0.6</v>
      </c>
      <c r="X147" s="131" t="s">
        <v>225</v>
      </c>
      <c r="Y147" s="131">
        <v>0.1</v>
      </c>
      <c r="Z147" s="131">
        <f t="shared" si="50"/>
        <v>351.5531627789627</v>
      </c>
      <c r="AA147" s="15" t="s">
        <v>223</v>
      </c>
      <c r="AB147" s="15">
        <v>0.4</v>
      </c>
      <c r="AC147" s="15">
        <v>1.8</v>
      </c>
      <c r="AD147" s="75"/>
      <c r="AE147" s="15">
        <v>3.09</v>
      </c>
    </row>
    <row r="148" spans="1:31" ht="14">
      <c r="A148" s="164" t="s">
        <v>144</v>
      </c>
      <c r="B148" s="181">
        <v>2</v>
      </c>
      <c r="C148" s="181">
        <v>2</v>
      </c>
      <c r="D148" s="182" t="s">
        <v>8</v>
      </c>
      <c r="E148" s="131">
        <f t="shared" si="43"/>
        <v>1.3333333333333333</v>
      </c>
      <c r="F148" s="131"/>
      <c r="G148" s="131">
        <f t="shared" si="39"/>
        <v>-1</v>
      </c>
      <c r="H148" s="131">
        <v>0.75</v>
      </c>
      <c r="I148" s="131">
        <v>0.75</v>
      </c>
      <c r="J148" s="131">
        <f t="shared" si="44"/>
        <v>0.39</v>
      </c>
      <c r="K148" s="131">
        <f t="shared" si="45"/>
        <v>0.52</v>
      </c>
      <c r="L148" s="131">
        <v>0.03</v>
      </c>
      <c r="M148" s="131">
        <v>0.2</v>
      </c>
      <c r="N148" s="131">
        <f t="shared" si="46"/>
        <v>0.10089552238805971</v>
      </c>
      <c r="O148" s="131">
        <f t="shared" si="49"/>
        <v>2.4108997064172097</v>
      </c>
      <c r="P148" s="131">
        <f t="shared" si="47"/>
        <v>0.42279119513721791</v>
      </c>
      <c r="Q148" s="131">
        <f t="shared" si="48"/>
        <v>0.88888888888888895</v>
      </c>
      <c r="R148" s="131"/>
      <c r="S148" s="184">
        <v>0.23</v>
      </c>
      <c r="T148" s="131">
        <f>S148</f>
        <v>0.23</v>
      </c>
      <c r="U148" s="131"/>
      <c r="V148" s="131">
        <v>0.8</v>
      </c>
      <c r="W148" s="131">
        <f>(V148+K148)/2</f>
        <v>0.66</v>
      </c>
      <c r="X148" s="131" t="s">
        <v>225</v>
      </c>
      <c r="Y148" s="131">
        <v>0.1</v>
      </c>
      <c r="Z148" s="131">
        <f t="shared" si="50"/>
        <v>6.2205647379823672</v>
      </c>
      <c r="AA148" s="49">
        <v>21.1</v>
      </c>
      <c r="AB148" s="49">
        <v>7</v>
      </c>
      <c r="AC148" s="49">
        <v>18</v>
      </c>
      <c r="AD148" s="49"/>
      <c r="AE148" s="49">
        <v>6.6</v>
      </c>
    </row>
    <row r="149" spans="1:31" ht="14">
      <c r="A149" s="164" t="s">
        <v>145</v>
      </c>
      <c r="B149" s="181">
        <v>1</v>
      </c>
      <c r="C149" s="181">
        <v>1</v>
      </c>
      <c r="D149" s="182" t="s">
        <v>8</v>
      </c>
      <c r="E149" s="131">
        <f t="shared" si="43"/>
        <v>1</v>
      </c>
      <c r="F149" s="131"/>
      <c r="G149" s="131">
        <f t="shared" si="39"/>
        <v>-1</v>
      </c>
      <c r="H149" s="131">
        <v>0.67</v>
      </c>
      <c r="I149" s="131">
        <v>0.67</v>
      </c>
      <c r="J149" s="131">
        <f t="shared" si="44"/>
        <v>0.19000000000000006</v>
      </c>
      <c r="K149" s="131">
        <f t="shared" si="45"/>
        <v>0.25333333333333341</v>
      </c>
      <c r="L149" s="131">
        <v>0.04</v>
      </c>
      <c r="M149" s="131">
        <v>0.2</v>
      </c>
      <c r="N149" s="131">
        <f t="shared" si="46"/>
        <v>0.10119402985074627</v>
      </c>
      <c r="O149" s="131">
        <f t="shared" si="49"/>
        <v>2.3086586079439271</v>
      </c>
      <c r="P149" s="131">
        <f t="shared" si="47"/>
        <v>0.94408080593334154</v>
      </c>
      <c r="Q149" s="131">
        <f t="shared" si="48"/>
        <v>1</v>
      </c>
      <c r="R149" s="131"/>
      <c r="S149" s="184">
        <v>0.15</v>
      </c>
      <c r="T149" s="131">
        <f>S149</f>
        <v>0.15</v>
      </c>
      <c r="U149" s="131"/>
      <c r="V149" s="131">
        <v>0.92</v>
      </c>
      <c r="W149" s="131">
        <f>(V149+K149)/2</f>
        <v>0.58666666666666667</v>
      </c>
      <c r="X149" s="131" t="s">
        <v>223</v>
      </c>
      <c r="Y149" s="131">
        <v>0.1</v>
      </c>
      <c r="Z149" s="131">
        <f t="shared" si="50"/>
        <v>2.7857784878911049</v>
      </c>
      <c r="AA149" s="105">
        <v>13.1</v>
      </c>
      <c r="AB149" s="105">
        <v>6.8</v>
      </c>
      <c r="AC149" s="105">
        <v>143</v>
      </c>
      <c r="AD149" s="105"/>
      <c r="AE149" s="105">
        <v>4.26</v>
      </c>
    </row>
    <row r="150" spans="1:31" ht="14">
      <c r="A150" s="164" t="s">
        <v>189</v>
      </c>
      <c r="B150" s="181">
        <v>2</v>
      </c>
      <c r="C150" s="181">
        <v>2</v>
      </c>
      <c r="D150" s="182" t="s">
        <v>8</v>
      </c>
      <c r="E150" s="131">
        <f t="shared" si="43"/>
        <v>1.3333333333333333</v>
      </c>
      <c r="F150" s="131"/>
      <c r="G150" s="131">
        <f t="shared" si="39"/>
        <v>-1</v>
      </c>
      <c r="H150" s="131">
        <v>0.67</v>
      </c>
      <c r="I150" s="131">
        <v>0.75</v>
      </c>
      <c r="J150" s="131">
        <f t="shared" si="44"/>
        <v>0.39</v>
      </c>
      <c r="K150" s="131">
        <f t="shared" si="45"/>
        <v>0.52</v>
      </c>
      <c r="L150" s="131">
        <v>0.03</v>
      </c>
      <c r="M150" s="131">
        <v>0.2</v>
      </c>
      <c r="N150" s="131">
        <f t="shared" si="46"/>
        <v>0.10089552238805971</v>
      </c>
      <c r="O150" s="131">
        <f t="shared" si="49"/>
        <v>2.7110427333331559</v>
      </c>
      <c r="P150" s="131">
        <f t="shared" si="47"/>
        <v>0.47038198343074972</v>
      </c>
      <c r="Q150" s="131">
        <f t="shared" si="48"/>
        <v>0.88888888888888895</v>
      </c>
      <c r="R150" s="131"/>
      <c r="S150" s="131">
        <v>0.51200000000000001</v>
      </c>
      <c r="T150" s="131">
        <f>S150</f>
        <v>0.51200000000000001</v>
      </c>
      <c r="U150" s="131"/>
      <c r="V150" s="131">
        <v>0.5</v>
      </c>
      <c r="W150" s="131">
        <f>(V150+K150)/2</f>
        <v>0.51</v>
      </c>
      <c r="X150" s="131" t="s">
        <v>225</v>
      </c>
      <c r="Y150" s="131">
        <v>0.1</v>
      </c>
      <c r="Z150" s="131">
        <f t="shared" si="50"/>
        <v>5.5912005405011271</v>
      </c>
      <c r="AA150" s="15">
        <v>60</v>
      </c>
      <c r="AB150" s="15"/>
      <c r="AC150" s="15">
        <v>10.718</v>
      </c>
      <c r="AD150" s="75"/>
      <c r="AE150" s="15">
        <v>3.25</v>
      </c>
    </row>
    <row r="151" spans="1:31" ht="14">
      <c r="A151" s="164" t="s">
        <v>146</v>
      </c>
      <c r="B151" s="181">
        <v>7</v>
      </c>
      <c r="C151" s="181">
        <v>6</v>
      </c>
      <c r="D151" s="182" t="s">
        <v>4</v>
      </c>
      <c r="E151" s="131">
        <f t="shared" si="43"/>
        <v>2.833333333333333</v>
      </c>
      <c r="F151" s="131"/>
      <c r="G151" s="131">
        <f t="shared" si="39"/>
        <v>-1</v>
      </c>
      <c r="H151" s="131">
        <v>1</v>
      </c>
      <c r="I151" s="131">
        <v>1</v>
      </c>
      <c r="J151" s="131">
        <f t="shared" si="44"/>
        <v>0.81600000000000006</v>
      </c>
      <c r="K151" s="131">
        <f t="shared" si="45"/>
        <v>1.0880000000000001</v>
      </c>
      <c r="L151" s="131">
        <v>2.8</v>
      </c>
      <c r="M151" s="131">
        <v>0.6</v>
      </c>
      <c r="N151" s="131">
        <f t="shared" si="46"/>
        <v>0.38358208955223877</v>
      </c>
      <c r="O151" s="131">
        <f t="shared" si="49"/>
        <v>1.5117781634640139</v>
      </c>
      <c r="P151" s="131">
        <f t="shared" si="47"/>
        <v>2.3915057889570129E-3</v>
      </c>
      <c r="Q151" s="131">
        <f t="shared" si="48"/>
        <v>0.38888888888888895</v>
      </c>
      <c r="R151" s="131"/>
      <c r="S151" s="131">
        <f>1-0.752</f>
        <v>0.248</v>
      </c>
      <c r="T151" s="131">
        <f>S151</f>
        <v>0.248</v>
      </c>
      <c r="U151" s="131">
        <v>9.4E-2</v>
      </c>
      <c r="V151" s="131">
        <v>0.35</v>
      </c>
      <c r="W151" s="131">
        <f>(V151+U151+J151)/3</f>
        <v>0.42</v>
      </c>
      <c r="X151" s="131">
        <f>45/114</f>
        <v>0.39473684210526316</v>
      </c>
      <c r="Y151" s="131">
        <f>X151</f>
        <v>0.39473684210526316</v>
      </c>
      <c r="Z151" s="131">
        <f t="shared" si="50"/>
        <v>1099.7255420180268</v>
      </c>
      <c r="AA151" s="15" t="s">
        <v>223</v>
      </c>
      <c r="AB151" s="15"/>
      <c r="AC151" s="15">
        <v>0.186</v>
      </c>
      <c r="AD151" s="75"/>
      <c r="AE151" s="108">
        <v>6.1</v>
      </c>
    </row>
    <row r="152" spans="1:31" ht="14">
      <c r="A152" s="164" t="s">
        <v>147</v>
      </c>
      <c r="B152" s="181">
        <v>3</v>
      </c>
      <c r="C152" s="181">
        <v>3</v>
      </c>
      <c r="D152" s="182" t="s">
        <v>3</v>
      </c>
      <c r="E152" s="131">
        <f t="shared" si="43"/>
        <v>1.6666666666666665</v>
      </c>
      <c r="F152" s="131">
        <v>30.1</v>
      </c>
      <c r="G152" s="131">
        <f t="shared" si="39"/>
        <v>1.3136866666666669</v>
      </c>
      <c r="H152" s="131">
        <f>(G152+I152)/2</f>
        <v>1.0318433333333334</v>
      </c>
      <c r="I152" s="131">
        <v>0.75</v>
      </c>
      <c r="J152" s="131">
        <f t="shared" si="44"/>
        <v>0.47300000000000009</v>
      </c>
      <c r="K152" s="131">
        <f t="shared" si="45"/>
        <v>0.63066666666666682</v>
      </c>
      <c r="L152" s="131">
        <v>0.09</v>
      </c>
      <c r="M152" s="131">
        <v>0.2</v>
      </c>
      <c r="N152" s="131">
        <f t="shared" si="46"/>
        <v>0.10268656716417911</v>
      </c>
      <c r="O152" s="131">
        <f t="shared" si="49"/>
        <v>2.3154714298812329</v>
      </c>
      <c r="P152" s="131">
        <f t="shared" si="47"/>
        <v>0.13875986463459303</v>
      </c>
      <c r="Q152" s="131">
        <f t="shared" si="48"/>
        <v>0.77777777777777779</v>
      </c>
      <c r="R152" s="131">
        <v>41.3</v>
      </c>
      <c r="S152" s="131">
        <v>0.58899999999999997</v>
      </c>
      <c r="T152" s="131">
        <f>(R152/100+S152)/2</f>
        <v>0.501</v>
      </c>
      <c r="U152" s="131">
        <v>0.33200000000000002</v>
      </c>
      <c r="V152" s="131">
        <v>0.6</v>
      </c>
      <c r="W152" s="131">
        <f>(V152+U152+J152)/3</f>
        <v>0.46833333333333332</v>
      </c>
      <c r="X152" s="131">
        <f>13/118</f>
        <v>0.11016949152542373</v>
      </c>
      <c r="Y152" s="131">
        <f>X152</f>
        <v>0.11016949152542373</v>
      </c>
      <c r="Z152" s="131">
        <f t="shared" si="50"/>
        <v>18.953607420458216</v>
      </c>
      <c r="AA152" s="15" t="s">
        <v>223</v>
      </c>
      <c r="AB152" s="15">
        <v>5.5</v>
      </c>
      <c r="AC152" s="15">
        <v>3.3000000000000002E-2</v>
      </c>
      <c r="AD152" s="75"/>
      <c r="AE152" s="108">
        <v>8.1</v>
      </c>
    </row>
    <row r="153" spans="1:31" ht="14">
      <c r="A153" s="164" t="s">
        <v>195</v>
      </c>
      <c r="B153" s="181">
        <v>2</v>
      </c>
      <c r="C153" s="181">
        <v>2</v>
      </c>
      <c r="D153" s="182" t="s">
        <v>8</v>
      </c>
      <c r="E153" s="131">
        <f t="shared" si="43"/>
        <v>1.3333333333333333</v>
      </c>
      <c r="F153" s="131"/>
      <c r="G153" s="131">
        <f t="shared" si="39"/>
        <v>-1</v>
      </c>
      <c r="H153" s="131">
        <v>0.75</v>
      </c>
      <c r="I153" s="131">
        <v>0.75</v>
      </c>
      <c r="J153" s="131">
        <f t="shared" si="44"/>
        <v>0.36699999999999999</v>
      </c>
      <c r="K153" s="131">
        <f t="shared" si="45"/>
        <v>0.48933333333333334</v>
      </c>
      <c r="L153" s="131">
        <v>0.22</v>
      </c>
      <c r="M153" s="131">
        <v>0.2</v>
      </c>
      <c r="N153" s="131">
        <f t="shared" si="46"/>
        <v>0.10656716417910449</v>
      </c>
      <c r="O153" s="131">
        <f t="shared" si="49"/>
        <v>2.0502622489818365</v>
      </c>
      <c r="P153" s="131">
        <f t="shared" si="47"/>
        <v>0.43711885105178028</v>
      </c>
      <c r="Q153" s="131">
        <f t="shared" si="48"/>
        <v>0.88888888888888895</v>
      </c>
      <c r="R153" s="131">
        <v>28.2</v>
      </c>
      <c r="S153" s="131">
        <f>1-0.735</f>
        <v>0.26500000000000001</v>
      </c>
      <c r="T153" s="131">
        <f>(R153/100+S153)/2</f>
        <v>0.27349999999999997</v>
      </c>
      <c r="U153" s="131">
        <v>0.41</v>
      </c>
      <c r="V153" s="131">
        <v>0.8</v>
      </c>
      <c r="W153" s="131">
        <f>(V153+U153+J153)/3</f>
        <v>0.52566666666666662</v>
      </c>
      <c r="X153" s="131">
        <f>1/117</f>
        <v>8.5470085470085479E-3</v>
      </c>
      <c r="Y153" s="131">
        <f>X153</f>
        <v>8.5470085470085479E-3</v>
      </c>
      <c r="Z153" s="131">
        <f t="shared" si="50"/>
        <v>6.0166702801121135</v>
      </c>
      <c r="AA153" s="15">
        <v>54</v>
      </c>
      <c r="AB153" s="15"/>
      <c r="AC153" s="15"/>
      <c r="AD153" s="75"/>
      <c r="AE153" s="108">
        <v>6.1</v>
      </c>
    </row>
    <row r="154" spans="1:31" ht="14">
      <c r="A154" s="164" t="s">
        <v>148</v>
      </c>
      <c r="B154" s="181">
        <v>3</v>
      </c>
      <c r="C154" s="181">
        <v>3</v>
      </c>
      <c r="D154" s="182" t="s">
        <v>3</v>
      </c>
      <c r="E154" s="131">
        <f t="shared" si="43"/>
        <v>1.6666666666666665</v>
      </c>
      <c r="F154" s="131">
        <v>15.4</v>
      </c>
      <c r="G154" s="131">
        <f t="shared" si="39"/>
        <v>0.18374666666666672</v>
      </c>
      <c r="H154" s="131">
        <f>(G154+I154)/2</f>
        <v>0.42687333333333338</v>
      </c>
      <c r="I154" s="131">
        <v>0.67</v>
      </c>
      <c r="J154" s="131">
        <f t="shared" si="44"/>
        <v>0.51</v>
      </c>
      <c r="K154" s="131">
        <f t="shared" si="45"/>
        <v>0.68</v>
      </c>
      <c r="L154" s="131">
        <v>0.03</v>
      </c>
      <c r="M154" s="131">
        <v>0.2</v>
      </c>
      <c r="N154" s="131">
        <f t="shared" si="46"/>
        <v>0.10089552238805971</v>
      </c>
      <c r="O154" s="131">
        <f t="shared" si="49"/>
        <v>1.80974361339279</v>
      </c>
      <c r="P154" s="131">
        <f t="shared" si="47"/>
        <v>0.35135286515309472</v>
      </c>
      <c r="Q154" s="131">
        <f t="shared" si="48"/>
        <v>0.77777777777777779</v>
      </c>
      <c r="R154" s="131">
        <v>65.8</v>
      </c>
      <c r="S154" s="184">
        <v>0.43</v>
      </c>
      <c r="T154" s="131">
        <f>(R154/100+S154)/2</f>
        <v>0.54399999999999993</v>
      </c>
      <c r="U154" s="131">
        <v>0.46200000000000002</v>
      </c>
      <c r="V154" s="131">
        <v>0.5</v>
      </c>
      <c r="W154" s="131">
        <f>(V154+U154+J154)/3</f>
        <v>0.49066666666666664</v>
      </c>
      <c r="X154" s="131">
        <f>-34/125</f>
        <v>-0.27200000000000002</v>
      </c>
      <c r="Y154" s="131">
        <f>X154</f>
        <v>-0.27200000000000002</v>
      </c>
      <c r="Z154" s="131">
        <f t="shared" si="50"/>
        <v>7.4853523646492306</v>
      </c>
      <c r="AA154" s="15" t="s">
        <v>223</v>
      </c>
      <c r="AB154" s="15">
        <v>10.9</v>
      </c>
      <c r="AC154" s="15">
        <v>27</v>
      </c>
      <c r="AD154" s="75"/>
      <c r="AE154" s="15">
        <v>1.84</v>
      </c>
    </row>
    <row r="155" spans="1:31" ht="14">
      <c r="A155" s="164" t="s">
        <v>149</v>
      </c>
      <c r="B155" s="181">
        <v>3</v>
      </c>
      <c r="C155" s="181">
        <v>3</v>
      </c>
      <c r="D155" s="182" t="s">
        <v>3</v>
      </c>
      <c r="E155" s="131">
        <f t="shared" si="43"/>
        <v>1.6666666666666665</v>
      </c>
      <c r="F155" s="131">
        <v>33.6</v>
      </c>
      <c r="G155" s="131">
        <f t="shared" si="39"/>
        <v>1.5827200000000001</v>
      </c>
      <c r="H155" s="131">
        <f>(G155+I155)/2</f>
        <v>1.12636</v>
      </c>
      <c r="I155" s="131">
        <v>0.67</v>
      </c>
      <c r="J155" s="131">
        <f t="shared" si="44"/>
        <v>0.54900000000000004</v>
      </c>
      <c r="K155" s="131">
        <f t="shared" si="45"/>
        <v>0.7320000000000001</v>
      </c>
      <c r="L155" s="131">
        <v>7.0000000000000007E-2</v>
      </c>
      <c r="M155" s="131">
        <v>0.2</v>
      </c>
      <c r="N155" s="131">
        <f t="shared" si="46"/>
        <v>0.10208955223880598</v>
      </c>
      <c r="O155" s="131">
        <f t="shared" si="49"/>
        <v>2.9571389271209823</v>
      </c>
      <c r="P155" s="131">
        <f t="shared" si="47"/>
        <v>0.10021553381949332</v>
      </c>
      <c r="Q155" s="131">
        <f t="shared" si="48"/>
        <v>0.77777777777777779</v>
      </c>
      <c r="R155" s="131">
        <v>62.9</v>
      </c>
      <c r="S155" s="184">
        <v>0.53</v>
      </c>
      <c r="T155" s="131">
        <v>0.68300000000000005</v>
      </c>
      <c r="U155" s="131"/>
      <c r="V155" s="131">
        <v>0.49</v>
      </c>
      <c r="W155" s="131">
        <f>(V155+K155)/2</f>
        <v>0.61099999999999999</v>
      </c>
      <c r="X155" s="131" t="s">
        <v>225</v>
      </c>
      <c r="Y155" s="131">
        <v>0.1</v>
      </c>
      <c r="Z155" s="131">
        <f t="shared" si="50"/>
        <v>26.243436518904499</v>
      </c>
      <c r="AA155" s="15">
        <v>54</v>
      </c>
      <c r="AB155" s="15">
        <v>48</v>
      </c>
      <c r="AC155" s="15">
        <v>12.855</v>
      </c>
      <c r="AD155" s="75"/>
      <c r="AE155" s="15">
        <v>5.27</v>
      </c>
    </row>
    <row r="156" spans="1:31" ht="14">
      <c r="A156" s="164" t="s">
        <v>150</v>
      </c>
      <c r="B156" s="181">
        <v>5</v>
      </c>
      <c r="C156" s="181">
        <v>4</v>
      </c>
      <c r="D156" s="182" t="s">
        <v>3</v>
      </c>
      <c r="E156" s="131">
        <f t="shared" si="43"/>
        <v>2.166666666666667</v>
      </c>
      <c r="F156" s="131">
        <v>23.2</v>
      </c>
      <c r="G156" s="131">
        <f t="shared" si="39"/>
        <v>0.78330666666666682</v>
      </c>
      <c r="H156" s="131">
        <f>(G156+I156)/2</f>
        <v>0.76665333333333341</v>
      </c>
      <c r="I156" s="131">
        <f>3/4</f>
        <v>0.75</v>
      </c>
      <c r="J156" s="131">
        <f t="shared" si="44"/>
        <v>0.41100000000000003</v>
      </c>
      <c r="K156" s="131">
        <f t="shared" si="45"/>
        <v>0.54800000000000004</v>
      </c>
      <c r="L156" s="131">
        <v>0.59</v>
      </c>
      <c r="M156" s="131">
        <v>0.4</v>
      </c>
      <c r="N156" s="131">
        <f t="shared" si="46"/>
        <v>0.21761194029850747</v>
      </c>
      <c r="O156" s="131">
        <f t="shared" si="49"/>
        <v>1.8422456586558063</v>
      </c>
      <c r="P156" s="131">
        <f t="shared" si="47"/>
        <v>9.509068662373607E-2</v>
      </c>
      <c r="Q156" s="131">
        <f t="shared" si="48"/>
        <v>0.61111111111111094</v>
      </c>
      <c r="R156" s="131">
        <v>47.3</v>
      </c>
      <c r="S156" s="131">
        <f>1-0.846</f>
        <v>0.15400000000000003</v>
      </c>
      <c r="T156" s="131">
        <f>(R156/100+S156)/2</f>
        <v>0.3135</v>
      </c>
      <c r="U156" s="131">
        <v>1.1819999999999999</v>
      </c>
      <c r="V156" s="131">
        <f>1-0.49</f>
        <v>0.51</v>
      </c>
      <c r="W156" s="131">
        <f>(V156+U156+J156)/3</f>
        <v>0.70099999999999996</v>
      </c>
      <c r="X156" s="131">
        <f>-2/136</f>
        <v>-1.4705882352941176E-2</v>
      </c>
      <c r="Y156" s="131">
        <f>X156</f>
        <v>-1.4705882352941176E-2</v>
      </c>
      <c r="Z156" s="131">
        <f t="shared" si="50"/>
        <v>27.657808491872981</v>
      </c>
      <c r="AA156" s="15">
        <v>8.8000000000000007</v>
      </c>
      <c r="AB156" s="15">
        <v>23.7</v>
      </c>
      <c r="AC156" s="15">
        <v>7</v>
      </c>
      <c r="AD156" s="15"/>
      <c r="AE156" s="15">
        <v>6.33</v>
      </c>
    </row>
    <row r="157" spans="1:31" ht="14">
      <c r="A157" s="164" t="s">
        <v>151</v>
      </c>
      <c r="B157" s="181">
        <v>1</v>
      </c>
      <c r="C157" s="181">
        <v>1</v>
      </c>
      <c r="D157" s="182" t="s">
        <v>8</v>
      </c>
      <c r="E157" s="131">
        <f t="shared" si="43"/>
        <v>1</v>
      </c>
      <c r="F157" s="131">
        <v>20.9</v>
      </c>
      <c r="G157" s="131">
        <f t="shared" si="39"/>
        <v>0.60651333333333324</v>
      </c>
      <c r="H157" s="131">
        <f>(G157+I157)/2</f>
        <v>0.67825666666666662</v>
      </c>
      <c r="I157" s="131">
        <v>0.75</v>
      </c>
      <c r="J157" s="131">
        <f t="shared" si="44"/>
        <v>0.26500000000000001</v>
      </c>
      <c r="K157" s="131">
        <f t="shared" si="45"/>
        <v>0.35333333333333333</v>
      </c>
      <c r="L157" s="131">
        <v>0.2</v>
      </c>
      <c r="M157" s="131">
        <v>0.2</v>
      </c>
      <c r="N157" s="131">
        <f t="shared" si="46"/>
        <v>0.10597014925373135</v>
      </c>
      <c r="O157" s="131">
        <f t="shared" si="49"/>
        <v>1.7908075559061341</v>
      </c>
      <c r="P157" s="131">
        <f t="shared" si="47"/>
        <v>0.84317875005181353</v>
      </c>
      <c r="Q157" s="131">
        <f t="shared" si="48"/>
        <v>1</v>
      </c>
      <c r="R157" s="131">
        <v>26</v>
      </c>
      <c r="S157" s="131">
        <f>1-0.824</f>
        <v>0.17600000000000005</v>
      </c>
      <c r="T157" s="131">
        <f>(R157/100+S157)/2</f>
        <v>0.21800000000000003</v>
      </c>
      <c r="U157" s="131">
        <v>0.434</v>
      </c>
      <c r="V157" s="131">
        <v>0.67</v>
      </c>
      <c r="W157" s="131">
        <f>(V157+U157+J157)/3</f>
        <v>0.45633333333333342</v>
      </c>
      <c r="X157" s="131">
        <f>-11/120</f>
        <v>-9.166666666666666E-2</v>
      </c>
      <c r="Y157" s="131">
        <f>X157</f>
        <v>-9.166666666666666E-2</v>
      </c>
      <c r="Z157" s="131">
        <f t="shared" si="50"/>
        <v>3.1191488161180363</v>
      </c>
      <c r="AA157" s="15" t="s">
        <v>223</v>
      </c>
      <c r="AB157" s="15">
        <v>2</v>
      </c>
      <c r="AC157" s="15">
        <v>0.09</v>
      </c>
      <c r="AD157" s="75"/>
      <c r="AE157" s="108">
        <v>4.9000000000000004</v>
      </c>
    </row>
    <row r="158" spans="1:31" ht="14">
      <c r="A158" s="164" t="s">
        <v>152</v>
      </c>
      <c r="B158" s="181">
        <v>1</v>
      </c>
      <c r="C158" s="181">
        <v>1</v>
      </c>
      <c r="D158" s="182" t="s">
        <v>8</v>
      </c>
      <c r="E158" s="131">
        <f t="shared" si="43"/>
        <v>1</v>
      </c>
      <c r="F158" s="131">
        <v>24.6</v>
      </c>
      <c r="G158" s="131">
        <f t="shared" si="39"/>
        <v>0.89092000000000016</v>
      </c>
      <c r="H158" s="131">
        <f>(G158+I158)/2</f>
        <v>0.82046000000000008</v>
      </c>
      <c r="I158" s="131">
        <v>0.75</v>
      </c>
      <c r="J158" s="131">
        <f t="shared" si="44"/>
        <v>0.23099999999999998</v>
      </c>
      <c r="K158" s="131">
        <f t="shared" si="45"/>
        <v>0.308</v>
      </c>
      <c r="L158" s="131">
        <v>0.14000000000000001</v>
      </c>
      <c r="M158" s="131">
        <v>0.2</v>
      </c>
      <c r="N158" s="131">
        <f t="shared" si="46"/>
        <v>0.10417910447761194</v>
      </c>
      <c r="O158" s="131">
        <f t="shared" si="49"/>
        <v>2.1634019448379638</v>
      </c>
      <c r="P158" s="131">
        <f t="shared" si="47"/>
        <v>0.76670339658769593</v>
      </c>
      <c r="Q158" s="131">
        <f t="shared" si="48"/>
        <v>1</v>
      </c>
      <c r="R158" s="131">
        <v>28.4</v>
      </c>
      <c r="S158" s="131">
        <f>1-0.828</f>
        <v>0.17200000000000004</v>
      </c>
      <c r="T158" s="131">
        <f>(R158/100+S158)/2</f>
        <v>0.22800000000000001</v>
      </c>
      <c r="U158" s="131">
        <v>0.45500000000000002</v>
      </c>
      <c r="V158" s="131">
        <v>0.89</v>
      </c>
      <c r="W158" s="131">
        <f>(V158+U158+J158)/3</f>
        <v>0.52533333333333332</v>
      </c>
      <c r="X158" s="131">
        <f>2/109</f>
        <v>1.834862385321101E-2</v>
      </c>
      <c r="Y158" s="131">
        <f>X158</f>
        <v>1.834862385321101E-2</v>
      </c>
      <c r="Z158" s="131">
        <f t="shared" si="50"/>
        <v>3.4302704431793645</v>
      </c>
      <c r="AA158" s="15">
        <v>70.2</v>
      </c>
      <c r="AB158" s="15"/>
      <c r="AC158" s="15">
        <v>5.99</v>
      </c>
      <c r="AD158" s="75"/>
      <c r="AE158" s="15">
        <v>4.51</v>
      </c>
    </row>
    <row r="159" spans="1:31" ht="14">
      <c r="A159" s="164" t="s">
        <v>153</v>
      </c>
      <c r="B159" s="181">
        <v>4</v>
      </c>
      <c r="C159" s="181">
        <v>3</v>
      </c>
      <c r="D159" s="182" t="s">
        <v>3</v>
      </c>
      <c r="E159" s="131">
        <f t="shared" si="43"/>
        <v>1.8333333333333335</v>
      </c>
      <c r="F159" s="131"/>
      <c r="G159" s="131">
        <f t="shared" si="39"/>
        <v>-1</v>
      </c>
      <c r="H159" s="131">
        <v>0.67</v>
      </c>
      <c r="I159" s="131">
        <v>0.67</v>
      </c>
      <c r="J159" s="131">
        <f t="shared" si="44"/>
        <v>0.51</v>
      </c>
      <c r="K159" s="131">
        <f t="shared" si="45"/>
        <v>0.68</v>
      </c>
      <c r="L159" s="131">
        <v>0.03</v>
      </c>
      <c r="M159" s="131">
        <v>0.2</v>
      </c>
      <c r="N159" s="131">
        <f t="shared" si="46"/>
        <v>0.10089552238805971</v>
      </c>
      <c r="O159" s="131">
        <f t="shared" si="49"/>
        <v>2.3128950309263008</v>
      </c>
      <c r="P159" s="131">
        <f t="shared" si="47"/>
        <v>0.18396839945986926</v>
      </c>
      <c r="Q159" s="131">
        <f t="shared" si="48"/>
        <v>0.7222222222222221</v>
      </c>
      <c r="R159" s="131"/>
      <c r="S159" s="131">
        <v>0.50600000000000001</v>
      </c>
      <c r="T159" s="131">
        <f>S159</f>
        <v>0.50600000000000001</v>
      </c>
      <c r="U159" s="131"/>
      <c r="V159" s="131">
        <v>0.43</v>
      </c>
      <c r="W159" s="131">
        <f>(V159+K159)/2</f>
        <v>0.55500000000000005</v>
      </c>
      <c r="X159" s="131" t="s">
        <v>225</v>
      </c>
      <c r="Y159" s="131">
        <v>0.1</v>
      </c>
      <c r="Z159" s="131">
        <f t="shared" si="50"/>
        <v>14.29593347401876</v>
      </c>
      <c r="AA159" s="25" t="s">
        <v>223</v>
      </c>
      <c r="AB159" s="25">
        <v>2</v>
      </c>
      <c r="AC159" s="25">
        <v>5.1829999999999998</v>
      </c>
      <c r="AD159" s="25"/>
      <c r="AE159" s="25">
        <v>5.89</v>
      </c>
    </row>
    <row r="160" spans="1:31" ht="14">
      <c r="A160" s="164" t="s">
        <v>154</v>
      </c>
      <c r="B160" s="181">
        <v>7</v>
      </c>
      <c r="C160" s="181">
        <v>7</v>
      </c>
      <c r="D160" s="182" t="s">
        <v>4</v>
      </c>
      <c r="E160" s="131">
        <f t="shared" si="43"/>
        <v>3</v>
      </c>
      <c r="F160" s="131"/>
      <c r="G160" s="131">
        <f t="shared" si="39"/>
        <v>-1</v>
      </c>
      <c r="H160" s="131">
        <v>0.75</v>
      </c>
      <c r="I160" s="131">
        <v>0.75</v>
      </c>
      <c r="J160" s="131">
        <f t="shared" si="44"/>
        <v>0.81</v>
      </c>
      <c r="K160" s="131">
        <f t="shared" si="45"/>
        <v>1.08</v>
      </c>
      <c r="L160" s="131">
        <v>0.05</v>
      </c>
      <c r="M160" s="131">
        <v>0.2</v>
      </c>
      <c r="N160" s="131">
        <f t="shared" si="46"/>
        <v>0.10149253731343284</v>
      </c>
      <c r="O160" s="131">
        <f t="shared" si="49"/>
        <v>2.0204764164513578</v>
      </c>
      <c r="P160" s="131">
        <f t="shared" si="47"/>
        <v>8.0065624625620235E-3</v>
      </c>
      <c r="Q160" s="131">
        <f t="shared" si="48"/>
        <v>0.33333333333333337</v>
      </c>
      <c r="R160" s="131"/>
      <c r="S160" s="184">
        <v>0.9</v>
      </c>
      <c r="T160" s="131">
        <f>S160</f>
        <v>0.9</v>
      </c>
      <c r="U160" s="131"/>
      <c r="V160" s="131">
        <v>0.74</v>
      </c>
      <c r="W160" s="131">
        <f>(V160+K160)/2</f>
        <v>0.91</v>
      </c>
      <c r="X160" s="131" t="s">
        <v>223</v>
      </c>
      <c r="Y160" s="131">
        <v>0.3</v>
      </c>
      <c r="Z160" s="131">
        <f t="shared" si="50"/>
        <v>328.48054484026659</v>
      </c>
      <c r="AA160" s="49">
        <v>21</v>
      </c>
      <c r="AB160" s="49">
        <v>13.5</v>
      </c>
      <c r="AC160" s="49">
        <v>5.5</v>
      </c>
      <c r="AD160" s="49"/>
      <c r="AE160" s="49">
        <v>7.35</v>
      </c>
    </row>
    <row r="161" spans="1:31" ht="14">
      <c r="A161" s="164" t="s">
        <v>155</v>
      </c>
      <c r="B161" s="181">
        <v>2</v>
      </c>
      <c r="C161" s="181">
        <v>2</v>
      </c>
      <c r="D161" s="182" t="s">
        <v>8</v>
      </c>
      <c r="E161" s="131">
        <f t="shared" si="43"/>
        <v>1.3333333333333333</v>
      </c>
      <c r="F161" s="131">
        <v>44.7</v>
      </c>
      <c r="G161" s="131">
        <f t="shared" si="39"/>
        <v>2.4359400000000004</v>
      </c>
      <c r="H161" s="131">
        <f>(G161+I161)/2</f>
        <v>1.7179700000000002</v>
      </c>
      <c r="I161" s="131">
        <v>1</v>
      </c>
      <c r="J161" s="131">
        <f t="shared" si="44"/>
        <v>0.22099999999999997</v>
      </c>
      <c r="K161" s="131">
        <f t="shared" si="45"/>
        <v>0.29466666666666663</v>
      </c>
      <c r="L161" s="131">
        <v>0.67</v>
      </c>
      <c r="M161" s="131">
        <v>0.6</v>
      </c>
      <c r="N161" s="131">
        <f t="shared" si="46"/>
        <v>0.32</v>
      </c>
      <c r="O161" s="131">
        <f t="shared" si="49"/>
        <v>2.4126862196414698</v>
      </c>
      <c r="P161" s="131">
        <f t="shared" si="47"/>
        <v>0.11727913973221815</v>
      </c>
      <c r="Q161" s="131">
        <f t="shared" si="48"/>
        <v>0.88888888888888895</v>
      </c>
      <c r="R161" s="131">
        <v>65</v>
      </c>
      <c r="S161" s="131">
        <v>0.40300000000000002</v>
      </c>
      <c r="T161" s="131">
        <f>(R161/100+S161)/2</f>
        <v>0.52649999999999997</v>
      </c>
      <c r="U161" s="131">
        <v>0.35599999999999998</v>
      </c>
      <c r="V161" s="131">
        <f>1-0.34</f>
        <v>0.65999999999999992</v>
      </c>
      <c r="W161" s="131">
        <f t="shared" ref="W161:W168" si="54">(V161+U161+J161)/3</f>
        <v>0.41233333333333338</v>
      </c>
      <c r="X161" s="131">
        <v>5.1999999999999998E-2</v>
      </c>
      <c r="Y161" s="131">
        <f>X161</f>
        <v>5.1999999999999998E-2</v>
      </c>
      <c r="Z161" s="131">
        <f t="shared" si="50"/>
        <v>22.425130385548893</v>
      </c>
      <c r="AA161" s="49">
        <v>12.3</v>
      </c>
      <c r="AB161" s="49">
        <v>10.8</v>
      </c>
      <c r="AC161" s="49">
        <v>2</v>
      </c>
      <c r="AD161" s="49"/>
      <c r="AE161" s="49">
        <v>7.69</v>
      </c>
    </row>
    <row r="162" spans="1:31" ht="14">
      <c r="A162" s="164" t="s">
        <v>156</v>
      </c>
      <c r="B162" s="181">
        <v>1</v>
      </c>
      <c r="C162" s="181">
        <v>2</v>
      </c>
      <c r="D162" s="182" t="s">
        <v>8</v>
      </c>
      <c r="E162" s="131">
        <f t="shared" si="43"/>
        <v>1.1666666666666667</v>
      </c>
      <c r="F162" s="131">
        <v>24.2</v>
      </c>
      <c r="G162" s="131">
        <f t="shared" si="39"/>
        <v>0.86017333333333323</v>
      </c>
      <c r="H162" s="131">
        <f>(G162+I162)/2</f>
        <v>0.80508666666666662</v>
      </c>
      <c r="I162" s="131">
        <v>0.75</v>
      </c>
      <c r="J162" s="131">
        <f t="shared" si="44"/>
        <v>0.18900000000000006</v>
      </c>
      <c r="K162" s="131">
        <f t="shared" si="45"/>
        <v>0.25200000000000006</v>
      </c>
      <c r="L162" s="131">
        <v>1.37</v>
      </c>
      <c r="M162" s="131">
        <v>0.6</v>
      </c>
      <c r="N162" s="131">
        <f t="shared" si="46"/>
        <v>0.3408955223880597</v>
      </c>
      <c r="O162" s="131">
        <f t="shared" si="49"/>
        <v>1.564410787138433</v>
      </c>
      <c r="P162" s="131">
        <f t="shared" si="47"/>
        <v>0.5147904396792814</v>
      </c>
      <c r="Q162" s="131">
        <f t="shared" si="48"/>
        <v>0.94444444444444442</v>
      </c>
      <c r="R162" s="131">
        <v>31</v>
      </c>
      <c r="S162" s="131">
        <f>1-0.877</f>
        <v>0.123</v>
      </c>
      <c r="T162" s="131">
        <f>(R162/100+S162)/2</f>
        <v>0.2165</v>
      </c>
      <c r="U162" s="131">
        <v>0.33300000000000002</v>
      </c>
      <c r="V162" s="131">
        <v>0.6</v>
      </c>
      <c r="W162" s="131">
        <f t="shared" si="54"/>
        <v>0.37400000000000005</v>
      </c>
      <c r="X162" s="131">
        <f>-14/120</f>
        <v>-0.11666666666666667</v>
      </c>
      <c r="Y162" s="131">
        <f>X162</f>
        <v>-0.11666666666666667</v>
      </c>
      <c r="Z162" s="131">
        <f t="shared" si="50"/>
        <v>5.108874985398935</v>
      </c>
      <c r="AA162" s="15" t="s">
        <v>223</v>
      </c>
      <c r="AB162" s="15"/>
      <c r="AC162" s="15">
        <v>0.55300000000000005</v>
      </c>
      <c r="AD162" s="75"/>
      <c r="AE162" s="108">
        <v>4.9000000000000004</v>
      </c>
    </row>
    <row r="163" spans="1:31" ht="14">
      <c r="A163" s="164" t="s">
        <v>157</v>
      </c>
      <c r="B163" s="181">
        <v>1</v>
      </c>
      <c r="C163" s="181">
        <v>1</v>
      </c>
      <c r="D163" s="182" t="s">
        <v>8</v>
      </c>
      <c r="E163" s="131">
        <f t="shared" si="43"/>
        <v>1</v>
      </c>
      <c r="F163" s="131">
        <v>26.6</v>
      </c>
      <c r="G163" s="131">
        <f t="shared" si="39"/>
        <v>1.0446533333333337</v>
      </c>
      <c r="H163" s="131">
        <f>(G163+I163)/2</f>
        <v>1.0223266666666668</v>
      </c>
      <c r="I163" s="131">
        <v>1</v>
      </c>
      <c r="J163" s="131">
        <f t="shared" si="44"/>
        <v>0.18399999999999994</v>
      </c>
      <c r="K163" s="131">
        <f t="shared" si="45"/>
        <v>0.24533333333333326</v>
      </c>
      <c r="L163" s="131">
        <v>1.63</v>
      </c>
      <c r="M163" s="131">
        <v>0.4</v>
      </c>
      <c r="N163" s="131">
        <f t="shared" si="46"/>
        <v>0.24865671641791046</v>
      </c>
      <c r="O163" s="131">
        <f t="shared" si="49"/>
        <v>2.1308599721352346</v>
      </c>
      <c r="P163" s="131">
        <f t="shared" si="47"/>
        <v>0.57733483919361628</v>
      </c>
      <c r="Q163" s="131">
        <f t="shared" si="48"/>
        <v>1</v>
      </c>
      <c r="R163" s="131">
        <v>32</v>
      </c>
      <c r="S163" s="131">
        <f>1-0.863</f>
        <v>0.13700000000000001</v>
      </c>
      <c r="T163" s="131">
        <f>(R163/100+S163)/2</f>
        <v>0.22850000000000001</v>
      </c>
      <c r="U163" s="131">
        <v>0.68200000000000005</v>
      </c>
      <c r="V163" s="131">
        <v>0.92</v>
      </c>
      <c r="W163" s="131">
        <f t="shared" si="54"/>
        <v>0.59533333333333338</v>
      </c>
      <c r="X163" s="131">
        <f>-7/104</f>
        <v>-6.7307692307692304E-2</v>
      </c>
      <c r="Y163" s="131">
        <f>X163</f>
        <v>-6.7307692307692304E-2</v>
      </c>
      <c r="Z163" s="131">
        <f t="shared" si="50"/>
        <v>4.5554153698283875</v>
      </c>
      <c r="AA163" s="74" t="s">
        <v>223</v>
      </c>
      <c r="AB163" s="74"/>
      <c r="AC163" s="74">
        <v>9.33</v>
      </c>
      <c r="AD163" s="74"/>
      <c r="AE163" s="74">
        <v>1.9</v>
      </c>
    </row>
    <row r="164" spans="1:31" ht="14">
      <c r="A164" s="164" t="s">
        <v>158</v>
      </c>
      <c r="B164" s="181">
        <v>5</v>
      </c>
      <c r="C164" s="181">
        <v>4</v>
      </c>
      <c r="D164" s="182" t="s">
        <v>3</v>
      </c>
      <c r="E164" s="131">
        <f t="shared" si="43"/>
        <v>2.166666666666667</v>
      </c>
      <c r="F164" s="131">
        <v>36.799999999999997</v>
      </c>
      <c r="G164" s="131">
        <f t="shared" si="39"/>
        <v>1.8286933333333333</v>
      </c>
      <c r="H164" s="131">
        <f>(G164+I164)/2</f>
        <v>1.2893466666666666</v>
      </c>
      <c r="I164" s="131">
        <v>0.75</v>
      </c>
      <c r="J164" s="131">
        <f t="shared" si="44"/>
        <v>0.33600000000000008</v>
      </c>
      <c r="K164" s="131">
        <f t="shared" si="45"/>
        <v>0.44800000000000012</v>
      </c>
      <c r="L164" s="131">
        <v>0.19</v>
      </c>
      <c r="M164" s="131">
        <v>0.2</v>
      </c>
      <c r="N164" s="131">
        <f t="shared" si="46"/>
        <v>0.10567164179104478</v>
      </c>
      <c r="O164" s="131">
        <f t="shared" si="49"/>
        <v>1.7939608235748061</v>
      </c>
      <c r="P164" s="131">
        <f t="shared" ref="P164:P197" si="55">2.63/Z164</f>
        <v>4.8498496146793857E-2</v>
      </c>
      <c r="Q164" s="131">
        <f t="shared" si="48"/>
        <v>0.61111111111111094</v>
      </c>
      <c r="R164" s="131">
        <v>49</v>
      </c>
      <c r="S164" s="131">
        <v>0.34200000000000003</v>
      </c>
      <c r="T164" s="131">
        <f>(R164/100+S164)/2</f>
        <v>0.41600000000000004</v>
      </c>
      <c r="U164" s="131">
        <v>0.78500000000000003</v>
      </c>
      <c r="V164" s="131">
        <v>0.2</v>
      </c>
      <c r="W164" s="131">
        <f t="shared" si="54"/>
        <v>0.44033333333333341</v>
      </c>
      <c r="X164" s="131" t="s">
        <v>225</v>
      </c>
      <c r="Y164" s="131">
        <v>0.1</v>
      </c>
      <c r="Z164" s="131">
        <f t="shared" si="50"/>
        <v>54.228485601689407</v>
      </c>
      <c r="AA164" s="99">
        <v>50</v>
      </c>
      <c r="AB164" s="99">
        <v>23.9</v>
      </c>
      <c r="AC164" s="99">
        <v>50.58</v>
      </c>
      <c r="AD164" s="99"/>
      <c r="AE164" s="99">
        <v>7.79</v>
      </c>
    </row>
    <row r="165" spans="1:31" ht="14">
      <c r="A165" s="164" t="s">
        <v>190</v>
      </c>
      <c r="B165" s="181">
        <v>1</v>
      </c>
      <c r="C165" s="181">
        <v>1</v>
      </c>
      <c r="D165" s="182" t="s">
        <v>8</v>
      </c>
      <c r="E165" s="131">
        <f t="shared" si="43"/>
        <v>1</v>
      </c>
      <c r="F165" s="131"/>
      <c r="G165" s="131">
        <f t="shared" si="39"/>
        <v>-1</v>
      </c>
      <c r="H165" s="131">
        <v>0.67</v>
      </c>
      <c r="I165" s="131">
        <v>0.67</v>
      </c>
      <c r="J165" s="131">
        <f t="shared" si="44"/>
        <v>0.19000000000000006</v>
      </c>
      <c r="K165" s="131">
        <f t="shared" si="45"/>
        <v>0.25333333333333341</v>
      </c>
      <c r="L165" s="131">
        <v>0.03</v>
      </c>
      <c r="M165" s="131">
        <v>0.2</v>
      </c>
      <c r="N165" s="131">
        <f t="shared" si="46"/>
        <v>0.10089552238805971</v>
      </c>
      <c r="O165" s="131">
        <f t="shared" ref="O165:O197" si="56">EXP(Q165*(Y165+W165+T165))</f>
        <v>2.6644562419294169</v>
      </c>
      <c r="P165" s="131">
        <f t="shared" si="55"/>
        <v>0.94436266316544237</v>
      </c>
      <c r="Q165" s="131">
        <f t="shared" si="48"/>
        <v>1</v>
      </c>
      <c r="R165" s="131"/>
      <c r="S165" s="184">
        <v>0.15</v>
      </c>
      <c r="T165" s="131">
        <f>S165</f>
        <v>0.15</v>
      </c>
      <c r="U165" s="131">
        <v>2</v>
      </c>
      <c r="V165" s="131"/>
      <c r="W165" s="131">
        <f t="shared" si="54"/>
        <v>0.73</v>
      </c>
      <c r="X165" s="131" t="s">
        <v>223</v>
      </c>
      <c r="Y165" s="131">
        <v>0.1</v>
      </c>
      <c r="Z165" s="131">
        <f t="shared" ref="Z165:Z197" si="57">EXP(E165*(H165+K165+N165))</f>
        <v>2.7849470363265003</v>
      </c>
      <c r="AA165" s="25">
        <v>15</v>
      </c>
      <c r="AB165" s="25">
        <v>3.4</v>
      </c>
      <c r="AC165" s="25">
        <v>49</v>
      </c>
      <c r="AD165" s="25"/>
      <c r="AE165" s="25">
        <v>8.11</v>
      </c>
    </row>
    <row r="166" spans="1:31" ht="14">
      <c r="A166" s="164" t="s">
        <v>159</v>
      </c>
      <c r="B166" s="181">
        <v>1</v>
      </c>
      <c r="C166" s="181">
        <v>1</v>
      </c>
      <c r="D166" s="182" t="s">
        <v>8</v>
      </c>
      <c r="E166" s="131">
        <f t="shared" si="43"/>
        <v>1</v>
      </c>
      <c r="F166" s="131"/>
      <c r="G166" s="131">
        <f t="shared" si="39"/>
        <v>-1</v>
      </c>
      <c r="H166" s="131">
        <v>0.67</v>
      </c>
      <c r="I166" s="131">
        <v>0.67</v>
      </c>
      <c r="J166" s="131">
        <f t="shared" si="44"/>
        <v>0.19000000000000006</v>
      </c>
      <c r="K166" s="131">
        <f t="shared" si="45"/>
        <v>0.25333333333333341</v>
      </c>
      <c r="L166" s="131">
        <v>0.04</v>
      </c>
      <c r="M166" s="131">
        <v>0.2</v>
      </c>
      <c r="N166" s="131">
        <f t="shared" si="46"/>
        <v>0.10119402985074627</v>
      </c>
      <c r="O166" s="131">
        <f t="shared" si="56"/>
        <v>1.7682670514337353</v>
      </c>
      <c r="P166" s="131">
        <f t="shared" si="55"/>
        <v>0.94408080593334154</v>
      </c>
      <c r="Q166" s="131">
        <f t="shared" si="48"/>
        <v>1</v>
      </c>
      <c r="R166" s="131"/>
      <c r="S166" s="184">
        <v>0.15</v>
      </c>
      <c r="T166" s="131">
        <f>S166</f>
        <v>0.15</v>
      </c>
      <c r="U166" s="131">
        <v>0.77</v>
      </c>
      <c r="V166" s="131"/>
      <c r="W166" s="131">
        <f t="shared" si="54"/>
        <v>0.32</v>
      </c>
      <c r="X166" s="131" t="s">
        <v>223</v>
      </c>
      <c r="Y166" s="131">
        <v>0.1</v>
      </c>
      <c r="Z166" s="131">
        <f t="shared" si="57"/>
        <v>2.7857784878911049</v>
      </c>
      <c r="AA166" s="39">
        <v>19.8</v>
      </c>
      <c r="AB166" s="39">
        <v>20.8</v>
      </c>
      <c r="AC166" s="39">
        <v>45</v>
      </c>
      <c r="AD166" s="39"/>
      <c r="AE166" s="39">
        <v>8.16</v>
      </c>
    </row>
    <row r="167" spans="1:31" ht="14">
      <c r="A167" s="164" t="s">
        <v>191</v>
      </c>
      <c r="B167" s="181">
        <v>1</v>
      </c>
      <c r="C167" s="181">
        <v>1</v>
      </c>
      <c r="D167" s="182" t="s">
        <v>8</v>
      </c>
      <c r="E167" s="131">
        <f t="shared" si="43"/>
        <v>1</v>
      </c>
      <c r="F167" s="131"/>
      <c r="G167" s="131">
        <f t="shared" ref="G167:G197" si="58">1.153*F167/15-1</f>
        <v>-1</v>
      </c>
      <c r="H167" s="131">
        <v>0.67</v>
      </c>
      <c r="I167" s="131">
        <v>0.67</v>
      </c>
      <c r="J167" s="131">
        <f t="shared" si="44"/>
        <v>0.19000000000000006</v>
      </c>
      <c r="K167" s="131">
        <f t="shared" si="45"/>
        <v>0.25333333333333341</v>
      </c>
      <c r="L167" s="131">
        <v>0.03</v>
      </c>
      <c r="M167" s="131">
        <v>0.2</v>
      </c>
      <c r="N167" s="131">
        <f t="shared" si="46"/>
        <v>0.10089552238805971</v>
      </c>
      <c r="O167" s="131">
        <f t="shared" si="56"/>
        <v>1.846576406099953</v>
      </c>
      <c r="P167" s="131">
        <f t="shared" si="55"/>
        <v>0.94436266316544237</v>
      </c>
      <c r="Q167" s="131">
        <f t="shared" si="48"/>
        <v>1</v>
      </c>
      <c r="R167" s="131"/>
      <c r="S167" s="184">
        <v>0.15</v>
      </c>
      <c r="T167" s="131">
        <f>S167</f>
        <v>0.15</v>
      </c>
      <c r="U167" s="131">
        <v>0.9</v>
      </c>
      <c r="V167" s="131"/>
      <c r="W167" s="131">
        <f t="shared" si="54"/>
        <v>0.36333333333333334</v>
      </c>
      <c r="X167" s="131" t="s">
        <v>223</v>
      </c>
      <c r="Y167" s="131">
        <v>0.1</v>
      </c>
      <c r="Z167" s="131">
        <f t="shared" si="57"/>
        <v>2.7849470363265003</v>
      </c>
      <c r="AA167" s="15">
        <v>8.9</v>
      </c>
      <c r="AB167" s="15">
        <v>4.2</v>
      </c>
      <c r="AC167" s="15">
        <v>21</v>
      </c>
      <c r="AD167" s="75"/>
      <c r="AE167" s="15">
        <v>6.64</v>
      </c>
    </row>
    <row r="168" spans="1:31" ht="14">
      <c r="A168" s="164" t="s">
        <v>160</v>
      </c>
      <c r="B168" s="181">
        <v>7</v>
      </c>
      <c r="C168" s="181">
        <v>7</v>
      </c>
      <c r="D168" s="182" t="s">
        <v>4</v>
      </c>
      <c r="E168" s="131">
        <f t="shared" si="43"/>
        <v>3</v>
      </c>
      <c r="F168" s="131"/>
      <c r="G168" s="131">
        <f t="shared" si="58"/>
        <v>-1</v>
      </c>
      <c r="H168" s="131">
        <v>0.75</v>
      </c>
      <c r="I168" s="131">
        <v>0.75</v>
      </c>
      <c r="J168" s="131">
        <f t="shared" si="44"/>
        <v>0.75800000000000001</v>
      </c>
      <c r="K168" s="131">
        <f t="shared" si="45"/>
        <v>1.0106666666666666</v>
      </c>
      <c r="L168" s="131">
        <v>0.1</v>
      </c>
      <c r="M168" s="131">
        <v>0.2</v>
      </c>
      <c r="N168" s="131">
        <f t="shared" si="46"/>
        <v>0.10298507462686568</v>
      </c>
      <c r="O168" s="131">
        <f t="shared" si="56"/>
        <v>2.027282853440703</v>
      </c>
      <c r="P168" s="131">
        <f t="shared" si="55"/>
        <v>9.8137444823274359E-3</v>
      </c>
      <c r="Q168" s="131">
        <f t="shared" si="48"/>
        <v>0.33333333333333337</v>
      </c>
      <c r="R168" s="131"/>
      <c r="S168" s="131">
        <v>0.621</v>
      </c>
      <c r="T168" s="131">
        <f>S168</f>
        <v>0.621</v>
      </c>
      <c r="U168" s="131">
        <v>1.008</v>
      </c>
      <c r="V168" s="131">
        <v>1.02</v>
      </c>
      <c r="W168" s="131">
        <f t="shared" si="54"/>
        <v>0.92866666666666664</v>
      </c>
      <c r="X168" s="131">
        <f>-61/142</f>
        <v>-0.42957746478873238</v>
      </c>
      <c r="Y168" s="131">
        <f>X168+1</f>
        <v>0.57042253521126762</v>
      </c>
      <c r="Z168" s="131">
        <f t="shared" si="57"/>
        <v>267.99148935822575</v>
      </c>
      <c r="AA168" s="15"/>
      <c r="AB168" s="15"/>
      <c r="AC168" s="15">
        <v>0.05</v>
      </c>
      <c r="AD168" s="75"/>
      <c r="AE168" s="108">
        <v>8.1</v>
      </c>
    </row>
    <row r="169" spans="1:31" ht="14">
      <c r="A169" s="164" t="s">
        <v>161</v>
      </c>
      <c r="B169" s="181">
        <v>2</v>
      </c>
      <c r="C169" s="181">
        <v>2</v>
      </c>
      <c r="D169" s="182" t="s">
        <v>8</v>
      </c>
      <c r="E169" s="131">
        <f t="shared" si="43"/>
        <v>1.3333333333333333</v>
      </c>
      <c r="F169" s="131"/>
      <c r="G169" s="131">
        <f t="shared" si="58"/>
        <v>-1</v>
      </c>
      <c r="H169" s="131">
        <v>0.75</v>
      </c>
      <c r="I169" s="131">
        <v>0.75</v>
      </c>
      <c r="J169" s="131">
        <f t="shared" si="44"/>
        <v>0.33499999999999996</v>
      </c>
      <c r="K169" s="131">
        <f t="shared" si="45"/>
        <v>0.4466666666666666</v>
      </c>
      <c r="L169" s="131">
        <v>7.0000000000000007E-2</v>
      </c>
      <c r="M169" s="131">
        <v>0.2</v>
      </c>
      <c r="N169" s="131">
        <f t="shared" si="46"/>
        <v>0.10208955223880598</v>
      </c>
      <c r="O169" s="131">
        <f t="shared" si="56"/>
        <v>2.2843329909997325</v>
      </c>
      <c r="P169" s="131">
        <f t="shared" si="55"/>
        <v>0.46547768907968062</v>
      </c>
      <c r="Q169" s="131">
        <f t="shared" si="48"/>
        <v>0.88888888888888895</v>
      </c>
      <c r="R169" s="131"/>
      <c r="S169" s="131">
        <v>0.35599999999999998</v>
      </c>
      <c r="T169" s="131">
        <f>S169</f>
        <v>0.35599999999999998</v>
      </c>
      <c r="U169" s="131"/>
      <c r="V169" s="131">
        <v>0.5</v>
      </c>
      <c r="W169" s="131">
        <f>(V169+K169)/2</f>
        <v>0.47333333333333327</v>
      </c>
      <c r="X169" s="131" t="s">
        <v>225</v>
      </c>
      <c r="Y169" s="131">
        <v>0.1</v>
      </c>
      <c r="Z169" s="131">
        <f t="shared" si="57"/>
        <v>5.6501096866745755</v>
      </c>
      <c r="AA169" s="15"/>
      <c r="AB169" s="15"/>
      <c r="AC169" s="15">
        <v>0.17299999999999999</v>
      </c>
      <c r="AD169" s="75"/>
      <c r="AE169" s="108">
        <v>8.1</v>
      </c>
    </row>
    <row r="170" spans="1:31" ht="14">
      <c r="A170" s="164" t="s">
        <v>162</v>
      </c>
      <c r="B170" s="181">
        <v>7</v>
      </c>
      <c r="C170" s="181">
        <v>5</v>
      </c>
      <c r="D170" s="182" t="s">
        <v>4</v>
      </c>
      <c r="E170" s="131">
        <f t="shared" si="43"/>
        <v>2.666666666666667</v>
      </c>
      <c r="F170" s="131">
        <v>40.700000000000003</v>
      </c>
      <c r="G170" s="131">
        <f t="shared" si="58"/>
        <v>2.1284733333333334</v>
      </c>
      <c r="H170" s="131">
        <f>(G170+I170)/2</f>
        <v>1.4392366666666667</v>
      </c>
      <c r="I170" s="131">
        <v>0.75</v>
      </c>
      <c r="J170" s="131">
        <f t="shared" si="44"/>
        <v>0.71</v>
      </c>
      <c r="K170" s="131">
        <f t="shared" si="45"/>
        <v>0.94666666666666666</v>
      </c>
      <c r="L170" s="131">
        <v>0.04</v>
      </c>
      <c r="M170" s="131">
        <v>0.2</v>
      </c>
      <c r="N170" s="131">
        <f t="shared" si="46"/>
        <v>0.10119402985074627</v>
      </c>
      <c r="O170" s="131">
        <f t="shared" si="56"/>
        <v>2.0456584532923534</v>
      </c>
      <c r="P170" s="131">
        <f t="shared" si="55"/>
        <v>3.4641922549589156E-3</v>
      </c>
      <c r="Q170" s="131">
        <f t="shared" si="48"/>
        <v>0.44444444444444431</v>
      </c>
      <c r="R170" s="131">
        <v>49</v>
      </c>
      <c r="S170" s="131">
        <v>0.502</v>
      </c>
      <c r="T170" s="131">
        <f>(R170/100+S170)/2</f>
        <v>0.496</v>
      </c>
      <c r="U170" s="131"/>
      <c r="V170" s="131">
        <v>1.21</v>
      </c>
      <c r="W170" s="131">
        <f>(V170+K170)/2</f>
        <v>1.0783333333333334</v>
      </c>
      <c r="X170" s="131">
        <f>4/111</f>
        <v>3.6036036036036036E-2</v>
      </c>
      <c r="Y170" s="131">
        <f>X170</f>
        <v>3.6036036036036036E-2</v>
      </c>
      <c r="Z170" s="131">
        <f t="shared" si="57"/>
        <v>759.19573927665601</v>
      </c>
      <c r="AA170" s="15"/>
      <c r="AB170" s="15"/>
      <c r="AC170" s="15">
        <v>0.12</v>
      </c>
      <c r="AD170" s="75"/>
      <c r="AE170" s="108">
        <v>8.1</v>
      </c>
    </row>
    <row r="171" spans="1:31" ht="14">
      <c r="A171" s="164" t="s">
        <v>163</v>
      </c>
      <c r="B171" s="181">
        <v>1</v>
      </c>
      <c r="C171" s="181">
        <v>1</v>
      </c>
      <c r="D171" s="182" t="s">
        <v>8</v>
      </c>
      <c r="E171" s="131">
        <f t="shared" si="43"/>
        <v>1</v>
      </c>
      <c r="F171" s="131">
        <v>22.2</v>
      </c>
      <c r="G171" s="131">
        <f t="shared" si="58"/>
        <v>0.70643999999999996</v>
      </c>
      <c r="H171" s="131">
        <f>(G171+I171)/2</f>
        <v>0.85321999999999998</v>
      </c>
      <c r="I171" s="131">
        <v>1</v>
      </c>
      <c r="J171" s="131">
        <f t="shared" si="44"/>
        <v>5.0000000000000044E-2</v>
      </c>
      <c r="K171" s="131">
        <f t="shared" si="45"/>
        <v>6.6666666666666721E-2</v>
      </c>
      <c r="L171" s="131">
        <v>0.98</v>
      </c>
      <c r="M171" s="131">
        <v>0.4</v>
      </c>
      <c r="N171" s="131">
        <f t="shared" si="46"/>
        <v>0.22925373134328358</v>
      </c>
      <c r="O171" s="131">
        <f t="shared" si="56"/>
        <v>1.7089568883469988</v>
      </c>
      <c r="P171" s="131">
        <f t="shared" si="55"/>
        <v>0.83347084882312239</v>
      </c>
      <c r="Q171" s="131">
        <f t="shared" si="48"/>
        <v>1</v>
      </c>
      <c r="R171" s="131">
        <v>23</v>
      </c>
      <c r="S171" s="131">
        <f>1-0.885</f>
        <v>0.11499999999999999</v>
      </c>
      <c r="T171" s="131">
        <f>(R171/100+S171)/2</f>
        <v>0.17249999999999999</v>
      </c>
      <c r="U171" s="131">
        <v>0.36799999999999999</v>
      </c>
      <c r="V171" s="131">
        <v>0.56000000000000005</v>
      </c>
      <c r="W171" s="131">
        <f>(V171+U171+J171)/3</f>
        <v>0.32600000000000001</v>
      </c>
      <c r="X171" s="131">
        <f>4/107</f>
        <v>3.7383177570093455E-2</v>
      </c>
      <c r="Y171" s="131">
        <f>X171</f>
        <v>3.7383177570093455E-2</v>
      </c>
      <c r="Z171" s="131">
        <f t="shared" si="57"/>
        <v>3.1554792872643511</v>
      </c>
      <c r="AA171" s="122">
        <v>40</v>
      </c>
      <c r="AB171" s="122">
        <v>18.7</v>
      </c>
      <c r="AC171" s="122">
        <v>32</v>
      </c>
      <c r="AD171" s="122"/>
      <c r="AE171" s="122">
        <v>2.42</v>
      </c>
    </row>
    <row r="172" spans="1:31" ht="14">
      <c r="A172" s="164" t="s">
        <v>164</v>
      </c>
      <c r="B172" s="181">
        <v>1</v>
      </c>
      <c r="C172" s="181">
        <v>1</v>
      </c>
      <c r="D172" s="182" t="s">
        <v>8</v>
      </c>
      <c r="E172" s="131">
        <f t="shared" si="43"/>
        <v>1</v>
      </c>
      <c r="F172" s="131">
        <v>19</v>
      </c>
      <c r="G172" s="131">
        <f t="shared" si="58"/>
        <v>0.46046666666666658</v>
      </c>
      <c r="H172" s="131">
        <f>(G172+I172)/2</f>
        <v>0.60523333333333329</v>
      </c>
      <c r="I172" s="131">
        <v>0.75</v>
      </c>
      <c r="J172" s="131">
        <f t="shared" si="44"/>
        <v>9.099999999999997E-2</v>
      </c>
      <c r="K172" s="131">
        <f t="shared" si="45"/>
        <v>0.12133333333333329</v>
      </c>
      <c r="L172" s="131">
        <v>1.4</v>
      </c>
      <c r="M172" s="131">
        <v>0.4</v>
      </c>
      <c r="N172" s="131">
        <f t="shared" si="46"/>
        <v>0.2417910447761194</v>
      </c>
      <c r="O172" s="131">
        <f t="shared" si="56"/>
        <v>1.889282202121799</v>
      </c>
      <c r="P172" s="131">
        <f t="shared" si="55"/>
        <v>0.99862707806770612</v>
      </c>
      <c r="Q172" s="131">
        <f t="shared" si="48"/>
        <v>1</v>
      </c>
      <c r="R172" s="131">
        <v>33.700000000000003</v>
      </c>
      <c r="S172" s="131">
        <v>0.126</v>
      </c>
      <c r="T172" s="131">
        <f>(R172/100+S172)/2</f>
        <v>0.23150000000000001</v>
      </c>
      <c r="U172" s="131">
        <v>0.52400000000000002</v>
      </c>
      <c r="V172" s="131">
        <f>1-0.21</f>
        <v>0.79</v>
      </c>
      <c r="W172" s="131">
        <f>(V172+U172+J172)/3</f>
        <v>0.46833333333333332</v>
      </c>
      <c r="X172" s="131">
        <f>-7/110</f>
        <v>-6.363636363636363E-2</v>
      </c>
      <c r="Y172" s="131">
        <f>X172</f>
        <v>-6.363636363636363E-2</v>
      </c>
      <c r="Z172" s="131">
        <f t="shared" si="57"/>
        <v>2.6336157488227934</v>
      </c>
      <c r="AA172" s="15">
        <v>70</v>
      </c>
      <c r="AB172" s="15">
        <v>9.5</v>
      </c>
      <c r="AC172" s="15">
        <v>0.52900000000000003</v>
      </c>
      <c r="AD172" s="75"/>
      <c r="AE172" s="15">
        <v>6.65</v>
      </c>
    </row>
    <row r="173" spans="1:31" ht="14">
      <c r="A173" s="164" t="s">
        <v>165</v>
      </c>
      <c r="B173" s="181">
        <v>7</v>
      </c>
      <c r="C173" s="181">
        <v>6</v>
      </c>
      <c r="D173" s="182" t="s">
        <v>4</v>
      </c>
      <c r="E173" s="131">
        <f t="shared" si="43"/>
        <v>2.833333333333333</v>
      </c>
      <c r="F173" s="131"/>
      <c r="G173" s="131">
        <f t="shared" si="58"/>
        <v>-1</v>
      </c>
      <c r="H173" s="131">
        <v>1</v>
      </c>
      <c r="I173" s="131">
        <v>1</v>
      </c>
      <c r="J173" s="131">
        <f t="shared" si="44"/>
        <v>0.76900000000000002</v>
      </c>
      <c r="K173" s="131">
        <f t="shared" si="45"/>
        <v>1.0253333333333334</v>
      </c>
      <c r="L173" s="131">
        <v>0.15</v>
      </c>
      <c r="M173" s="131">
        <v>0.4</v>
      </c>
      <c r="N173" s="131">
        <f t="shared" si="46"/>
        <v>0.20447761194029851</v>
      </c>
      <c r="O173" s="131">
        <f t="shared" si="56"/>
        <v>2.5532242069549631</v>
      </c>
      <c r="P173" s="131">
        <f t="shared" si="55"/>
        <v>4.7442883737583387E-3</v>
      </c>
      <c r="Q173" s="131">
        <f t="shared" si="48"/>
        <v>0.38888888888888895</v>
      </c>
      <c r="R173" s="131"/>
      <c r="S173" s="131">
        <v>0.41099999999999998</v>
      </c>
      <c r="T173" s="131">
        <f>S173</f>
        <v>0.41099999999999998</v>
      </c>
      <c r="U173" s="131">
        <v>0.34399999999999997</v>
      </c>
      <c r="V173" s="131">
        <v>1.2</v>
      </c>
      <c r="W173" s="131">
        <f>(V173+U173+J173)/3</f>
        <v>0.77100000000000002</v>
      </c>
      <c r="X173" s="131">
        <f>29/127</f>
        <v>0.2283464566929134</v>
      </c>
      <c r="Y173" s="131">
        <f>X173+1</f>
        <v>1.2283464566929134</v>
      </c>
      <c r="Z173" s="131">
        <f t="shared" si="57"/>
        <v>554.35078831781925</v>
      </c>
      <c r="AA173" s="15">
        <v>69</v>
      </c>
      <c r="AB173" s="15">
        <v>40</v>
      </c>
      <c r="AC173" s="15">
        <v>1.2</v>
      </c>
      <c r="AD173" s="75"/>
      <c r="AE173" s="15">
        <v>2.9</v>
      </c>
    </row>
    <row r="174" spans="1:31" ht="14">
      <c r="A174" s="164" t="s">
        <v>166</v>
      </c>
      <c r="B174" s="181">
        <v>1</v>
      </c>
      <c r="C174" s="181">
        <v>2</v>
      </c>
      <c r="D174" s="182" t="s">
        <v>8</v>
      </c>
      <c r="E174" s="131">
        <f t="shared" si="43"/>
        <v>1.1666666666666667</v>
      </c>
      <c r="F174" s="131">
        <v>40.299999999999997</v>
      </c>
      <c r="G174" s="131">
        <f t="shared" si="58"/>
        <v>2.0977266666666665</v>
      </c>
      <c r="H174" s="131">
        <f>(G174+I174)/2</f>
        <v>1.4238633333333333</v>
      </c>
      <c r="I174" s="131">
        <v>0.75</v>
      </c>
      <c r="J174" s="131">
        <f t="shared" si="44"/>
        <v>0.248</v>
      </c>
      <c r="K174" s="131">
        <f t="shared" si="45"/>
        <v>0.33066666666666666</v>
      </c>
      <c r="L174" s="131">
        <v>0.06</v>
      </c>
      <c r="M174" s="131">
        <v>0.2</v>
      </c>
      <c r="N174" s="131">
        <f t="shared" si="46"/>
        <v>0.1017910447761194</v>
      </c>
      <c r="O174" s="131">
        <f t="shared" si="56"/>
        <v>1.6296335787858049</v>
      </c>
      <c r="P174" s="131">
        <f t="shared" si="55"/>
        <v>0.30157876915260412</v>
      </c>
      <c r="Q174" s="131">
        <f t="shared" si="48"/>
        <v>0.94444444444444442</v>
      </c>
      <c r="R174" s="131">
        <v>32.6</v>
      </c>
      <c r="S174" s="184">
        <v>0.4</v>
      </c>
      <c r="T174" s="131">
        <f>(R174/100+S174)/2</f>
        <v>0.36299999999999999</v>
      </c>
      <c r="U174" s="131">
        <v>0.34899999999999998</v>
      </c>
      <c r="V174" s="131">
        <v>0.48</v>
      </c>
      <c r="W174" s="131">
        <f>(V174+U174+J174)/3</f>
        <v>0.35899999999999999</v>
      </c>
      <c r="X174" s="131">
        <f>-25/122</f>
        <v>-0.20491803278688525</v>
      </c>
      <c r="Y174" s="131">
        <f>X174</f>
        <v>-0.20491803278688525</v>
      </c>
      <c r="Z174" s="131">
        <f t="shared" si="57"/>
        <v>8.7207730417825733</v>
      </c>
      <c r="AA174" s="49" t="s">
        <v>223</v>
      </c>
      <c r="AB174" s="49">
        <v>7.6</v>
      </c>
      <c r="AC174" s="49">
        <v>9.5</v>
      </c>
      <c r="AD174" s="49"/>
      <c r="AE174" s="49">
        <v>9.5</v>
      </c>
    </row>
    <row r="175" spans="1:31" ht="14">
      <c r="A175" s="164" t="s">
        <v>167</v>
      </c>
      <c r="B175" s="181">
        <v>6</v>
      </c>
      <c r="C175" s="181">
        <v>5</v>
      </c>
      <c r="D175" s="182" t="s">
        <v>4</v>
      </c>
      <c r="E175" s="131">
        <f t="shared" si="43"/>
        <v>2.5</v>
      </c>
      <c r="F175" s="131">
        <v>25.6</v>
      </c>
      <c r="G175" s="131">
        <f t="shared" si="58"/>
        <v>0.96778666666666679</v>
      </c>
      <c r="H175" s="131">
        <f>(G175+I175)/2</f>
        <v>0.8588933333333334</v>
      </c>
      <c r="I175" s="131">
        <v>0.75</v>
      </c>
      <c r="J175" s="131">
        <f t="shared" si="44"/>
        <v>0.749</v>
      </c>
      <c r="K175" s="131">
        <f t="shared" si="45"/>
        <v>0.9986666666666667</v>
      </c>
      <c r="L175" s="131">
        <v>0.14000000000000001</v>
      </c>
      <c r="M175" s="131">
        <v>0.2</v>
      </c>
      <c r="N175" s="131">
        <f t="shared" si="46"/>
        <v>0.10417910447761194</v>
      </c>
      <c r="O175" s="131">
        <f t="shared" si="56"/>
        <v>1.6666312071440459</v>
      </c>
      <c r="P175" s="131">
        <f t="shared" si="55"/>
        <v>1.9499549524160917E-2</v>
      </c>
      <c r="Q175" s="131">
        <f t="shared" si="48"/>
        <v>0.5</v>
      </c>
      <c r="R175" s="131">
        <v>32.6</v>
      </c>
      <c r="S175" s="131">
        <v>0.42</v>
      </c>
      <c r="T175" s="131">
        <f>(R175/100+S175)/2</f>
        <v>0.373</v>
      </c>
      <c r="U175" s="131"/>
      <c r="V175" s="131">
        <v>0.4</v>
      </c>
      <c r="W175" s="131">
        <f>(V175+K175)/2</f>
        <v>0.69933333333333336</v>
      </c>
      <c r="X175" s="131">
        <f>-7/138</f>
        <v>-5.0724637681159424E-2</v>
      </c>
      <c r="Y175" s="131">
        <f>X175</f>
        <v>-5.0724637681159424E-2</v>
      </c>
      <c r="Z175" s="131">
        <f t="shared" si="57"/>
        <v>134.87491066095134</v>
      </c>
      <c r="AA175" s="70">
        <v>6.9</v>
      </c>
      <c r="AB175" s="70">
        <v>3.1</v>
      </c>
      <c r="AC175" s="70">
        <v>7.8</v>
      </c>
      <c r="AD175" s="70"/>
      <c r="AE175" s="70">
        <v>9.09</v>
      </c>
    </row>
    <row r="176" spans="1:31" ht="14">
      <c r="A176" s="164" t="s">
        <v>168</v>
      </c>
      <c r="B176" s="181">
        <v>3</v>
      </c>
      <c r="C176" s="181">
        <v>3</v>
      </c>
      <c r="D176" s="182" t="s">
        <v>3</v>
      </c>
      <c r="E176" s="131">
        <f t="shared" si="43"/>
        <v>1.6666666666666665</v>
      </c>
      <c r="F176" s="131">
        <v>29.6</v>
      </c>
      <c r="G176" s="131">
        <f t="shared" si="58"/>
        <v>1.2752533333333336</v>
      </c>
      <c r="H176" s="131">
        <f>(G176+I176)/2</f>
        <v>1.0126266666666668</v>
      </c>
      <c r="I176" s="131">
        <v>0.75</v>
      </c>
      <c r="J176" s="131">
        <f t="shared" si="44"/>
        <v>0.43600000000000005</v>
      </c>
      <c r="K176" s="131">
        <f t="shared" si="45"/>
        <v>0.58133333333333337</v>
      </c>
      <c r="L176" s="131">
        <v>0.1</v>
      </c>
      <c r="M176" s="131">
        <v>0.2</v>
      </c>
      <c r="N176" s="131">
        <f t="shared" si="46"/>
        <v>0.10298507462686568</v>
      </c>
      <c r="O176" s="131">
        <f t="shared" si="56"/>
        <v>2.0970002274376571</v>
      </c>
      <c r="P176" s="131">
        <f t="shared" si="55"/>
        <v>0.15547692590206585</v>
      </c>
      <c r="Q176" s="131">
        <f t="shared" si="48"/>
        <v>0.77777777777777779</v>
      </c>
      <c r="R176" s="131">
        <v>37.6</v>
      </c>
      <c r="S176" s="131">
        <v>0.60199999999999998</v>
      </c>
      <c r="T176" s="131">
        <f>(R176/100+S176)/2</f>
        <v>0.48899999999999999</v>
      </c>
      <c r="U176" s="131">
        <v>0.36899999999999999</v>
      </c>
      <c r="V176" s="131">
        <v>0.39</v>
      </c>
      <c r="W176" s="131">
        <f>(V176+U176+J176)/3</f>
        <v>0.39833333333333337</v>
      </c>
      <c r="X176" s="131">
        <f>9/139</f>
        <v>6.4748201438848921E-2</v>
      </c>
      <c r="Y176" s="131">
        <f>X176</f>
        <v>6.4748201438848921E-2</v>
      </c>
      <c r="Z176" s="131">
        <f t="shared" si="57"/>
        <v>16.915693339966239</v>
      </c>
      <c r="AA176" s="122">
        <v>11.9</v>
      </c>
      <c r="AB176" s="122">
        <v>8.1</v>
      </c>
      <c r="AC176" s="122">
        <v>21</v>
      </c>
      <c r="AD176" s="122"/>
      <c r="AE176" s="122">
        <v>2.31</v>
      </c>
    </row>
    <row r="177" spans="1:31" ht="14">
      <c r="A177" s="164" t="s">
        <v>169</v>
      </c>
      <c r="B177" s="181">
        <v>5</v>
      </c>
      <c r="C177" s="181">
        <v>4</v>
      </c>
      <c r="D177" s="182" t="s">
        <v>3</v>
      </c>
      <c r="E177" s="131">
        <f t="shared" si="43"/>
        <v>2.166666666666667</v>
      </c>
      <c r="F177" s="131">
        <v>36</v>
      </c>
      <c r="G177" s="131">
        <f t="shared" si="58"/>
        <v>1.7672000000000003</v>
      </c>
      <c r="H177" s="131">
        <f>(G177+I177)/2</f>
        <v>1.2186000000000001</v>
      </c>
      <c r="I177" s="131">
        <v>0.67</v>
      </c>
      <c r="J177" s="131">
        <f t="shared" si="44"/>
        <v>0.34499999999999997</v>
      </c>
      <c r="K177" s="131">
        <f t="shared" si="45"/>
        <v>0.45999999999999996</v>
      </c>
      <c r="L177" s="131">
        <v>0.6</v>
      </c>
      <c r="M177" s="131">
        <v>0.4</v>
      </c>
      <c r="N177" s="131">
        <f t="shared" si="46"/>
        <v>0.21791044776119403</v>
      </c>
      <c r="O177" s="131">
        <f t="shared" si="56"/>
        <v>1.75473841510172</v>
      </c>
      <c r="P177" s="131">
        <f t="shared" si="55"/>
        <v>4.3191043830690785E-2</v>
      </c>
      <c r="Q177" s="131">
        <f t="shared" si="48"/>
        <v>0.61111111111111094</v>
      </c>
      <c r="R177" s="131">
        <v>53.6</v>
      </c>
      <c r="S177" s="131">
        <v>0.34599999999999997</v>
      </c>
      <c r="T177" s="131">
        <f>(R177/100+S177)/2</f>
        <v>0.441</v>
      </c>
      <c r="U177" s="131">
        <v>0.40500000000000003</v>
      </c>
      <c r="V177" s="131">
        <v>0.99</v>
      </c>
      <c r="W177" s="131">
        <f>(V177+U177+J177)/3</f>
        <v>0.57999999999999996</v>
      </c>
      <c r="X177" s="131">
        <f>-12/119</f>
        <v>-0.10084033613445378</v>
      </c>
      <c r="Y177" s="131">
        <f>X177</f>
        <v>-0.10084033613445378</v>
      </c>
      <c r="Z177" s="131">
        <f t="shared" si="57"/>
        <v>60.892253734584877</v>
      </c>
      <c r="AA177" s="25">
        <v>1.1599999999999999</v>
      </c>
      <c r="AB177" s="25">
        <v>4.3</v>
      </c>
      <c r="AC177" s="25">
        <v>23</v>
      </c>
      <c r="AD177" s="25"/>
      <c r="AE177" s="25">
        <v>7.52</v>
      </c>
    </row>
    <row r="178" spans="1:31" ht="14">
      <c r="A178" s="164" t="s">
        <v>170</v>
      </c>
      <c r="B178" s="181">
        <v>5</v>
      </c>
      <c r="C178" s="181">
        <v>4</v>
      </c>
      <c r="D178" s="182" t="s">
        <v>3</v>
      </c>
      <c r="E178" s="131">
        <f t="shared" si="43"/>
        <v>2.166666666666667</v>
      </c>
      <c r="F178" s="131">
        <v>27.1</v>
      </c>
      <c r="G178" s="131">
        <f t="shared" si="58"/>
        <v>1.083086666666667</v>
      </c>
      <c r="H178" s="131">
        <f>(G178+I178)/2</f>
        <v>0.91654333333333349</v>
      </c>
      <c r="I178" s="131">
        <v>0.75</v>
      </c>
      <c r="J178" s="131">
        <f t="shared" si="44"/>
        <v>0.65500000000000003</v>
      </c>
      <c r="K178" s="131">
        <f t="shared" si="45"/>
        <v>0.87333333333333341</v>
      </c>
      <c r="L178" s="131">
        <v>0.06</v>
      </c>
      <c r="M178" s="131">
        <v>0.2</v>
      </c>
      <c r="N178" s="131">
        <f t="shared" si="46"/>
        <v>0.1017910447761194</v>
      </c>
      <c r="O178" s="131">
        <f t="shared" si="56"/>
        <v>2.0487723103223128</v>
      </c>
      <c r="P178" s="131">
        <f t="shared" si="55"/>
        <v>4.3646615863472037E-2</v>
      </c>
      <c r="Q178" s="131">
        <f t="shared" si="48"/>
        <v>0.61111111111111094</v>
      </c>
      <c r="R178" s="131"/>
      <c r="S178" s="131">
        <v>0.32700000000000001</v>
      </c>
      <c r="T178" s="131">
        <f>S178</f>
        <v>0.32700000000000001</v>
      </c>
      <c r="U178" s="131"/>
      <c r="V178" s="131">
        <v>0.62</v>
      </c>
      <c r="W178" s="131">
        <f>(V178+K178)/2</f>
        <v>0.7466666666666667</v>
      </c>
      <c r="X178" s="131" t="s">
        <v>225</v>
      </c>
      <c r="Y178" s="131">
        <v>0.1</v>
      </c>
      <c r="Z178" s="131">
        <f t="shared" si="57"/>
        <v>60.256676215785461</v>
      </c>
      <c r="AA178" s="15">
        <v>53</v>
      </c>
      <c r="AB178" s="15">
        <v>2.2000000000000002</v>
      </c>
      <c r="AC178" s="15">
        <v>7.6</v>
      </c>
      <c r="AD178" s="75"/>
      <c r="AE178" s="15">
        <v>2.5099999999999998</v>
      </c>
    </row>
    <row r="179" spans="1:31" ht="14">
      <c r="A179" s="164" t="s">
        <v>171</v>
      </c>
      <c r="B179" s="181">
        <v>3</v>
      </c>
      <c r="C179" s="181">
        <v>3</v>
      </c>
      <c r="D179" s="182" t="s">
        <v>3</v>
      </c>
      <c r="E179" s="131">
        <f t="shared" si="43"/>
        <v>1.6666666666666665</v>
      </c>
      <c r="F179" s="131"/>
      <c r="G179" s="131">
        <f t="shared" si="58"/>
        <v>-1</v>
      </c>
      <c r="H179" s="131">
        <v>0.75</v>
      </c>
      <c r="I179" s="131">
        <v>0.75</v>
      </c>
      <c r="J179" s="131">
        <f t="shared" si="44"/>
        <v>0.51</v>
      </c>
      <c r="K179" s="131">
        <f t="shared" si="45"/>
        <v>0.68</v>
      </c>
      <c r="L179" s="131">
        <v>0.03</v>
      </c>
      <c r="M179" s="131">
        <v>0.2</v>
      </c>
      <c r="N179" s="131">
        <f t="shared" si="46"/>
        <v>0.10089552238805971</v>
      </c>
      <c r="O179" s="131">
        <f t="shared" si="56"/>
        <v>2.7486533782547049</v>
      </c>
      <c r="P179" s="131">
        <f t="shared" si="55"/>
        <v>0.20504851052637413</v>
      </c>
      <c r="Q179" s="131">
        <f t="shared" si="48"/>
        <v>0.77777777777777779</v>
      </c>
      <c r="R179" s="131"/>
      <c r="S179" s="184">
        <v>0.43</v>
      </c>
      <c r="T179" s="131">
        <f>S179</f>
        <v>0.43</v>
      </c>
      <c r="U179" s="131"/>
      <c r="V179" s="131">
        <v>0.86</v>
      </c>
      <c r="W179" s="131">
        <f>(V179+K179)/2</f>
        <v>0.77</v>
      </c>
      <c r="X179" s="131" t="s">
        <v>225</v>
      </c>
      <c r="Y179" s="131">
        <v>0.1</v>
      </c>
      <c r="Z179" s="131">
        <f t="shared" si="57"/>
        <v>12.826233135020599</v>
      </c>
      <c r="AA179" s="15">
        <v>36</v>
      </c>
      <c r="AB179" s="15"/>
      <c r="AC179" s="15">
        <v>43</v>
      </c>
      <c r="AD179" s="75"/>
      <c r="AE179" s="15">
        <v>5.64</v>
      </c>
    </row>
    <row r="180" spans="1:31" ht="14">
      <c r="A180" s="164" t="s">
        <v>192</v>
      </c>
      <c r="B180" s="181">
        <v>2</v>
      </c>
      <c r="C180" s="181">
        <v>2</v>
      </c>
      <c r="D180" s="182" t="s">
        <v>8</v>
      </c>
      <c r="E180" s="131">
        <f t="shared" si="43"/>
        <v>1.3333333333333333</v>
      </c>
      <c r="F180" s="131"/>
      <c r="G180" s="131">
        <f t="shared" si="58"/>
        <v>-1</v>
      </c>
      <c r="H180" s="131">
        <v>0.75</v>
      </c>
      <c r="I180" s="131">
        <v>0.75</v>
      </c>
      <c r="J180" s="131">
        <f t="shared" si="44"/>
        <v>0.28400000000000003</v>
      </c>
      <c r="K180" s="131">
        <f t="shared" si="45"/>
        <v>0.37866666666666671</v>
      </c>
      <c r="L180" s="131">
        <v>0.16</v>
      </c>
      <c r="M180" s="131">
        <v>0.2</v>
      </c>
      <c r="N180" s="131">
        <f t="shared" si="46"/>
        <v>0.10477611940298508</v>
      </c>
      <c r="O180" s="131">
        <f t="shared" si="56"/>
        <v>2.3149947215032389</v>
      </c>
      <c r="P180" s="131">
        <f t="shared" si="55"/>
        <v>0.50783101456550972</v>
      </c>
      <c r="Q180" s="131">
        <f t="shared" si="48"/>
        <v>0.88888888888888895</v>
      </c>
      <c r="R180" s="131"/>
      <c r="S180" s="131">
        <f>1-0.736</f>
        <v>0.26400000000000001</v>
      </c>
      <c r="T180" s="131">
        <f>S180</f>
        <v>0.26400000000000001</v>
      </c>
      <c r="U180" s="131">
        <v>0.317</v>
      </c>
      <c r="V180" s="131">
        <v>1.1399999999999999</v>
      </c>
      <c r="W180" s="131">
        <f>(V180+U180+J180)/3</f>
        <v>0.58033333333333326</v>
      </c>
      <c r="X180" s="131" t="s">
        <v>223</v>
      </c>
      <c r="Y180" s="131">
        <v>0.1</v>
      </c>
      <c r="Z180" s="131">
        <f t="shared" si="57"/>
        <v>5.178888103654276</v>
      </c>
      <c r="AA180" s="15">
        <v>8.1</v>
      </c>
      <c r="AB180" s="15">
        <v>0.7</v>
      </c>
      <c r="AC180" s="15">
        <v>66.7</v>
      </c>
      <c r="AD180" s="75"/>
      <c r="AE180" s="15">
        <v>6.55</v>
      </c>
    </row>
    <row r="181" spans="1:31" ht="14">
      <c r="A181" s="164" t="s">
        <v>172</v>
      </c>
      <c r="B181" s="181">
        <v>5</v>
      </c>
      <c r="C181" s="181">
        <v>5</v>
      </c>
      <c r="D181" s="182" t="s">
        <v>4</v>
      </c>
      <c r="E181" s="131">
        <f t="shared" si="43"/>
        <v>2.333333333333333</v>
      </c>
      <c r="F181" s="131">
        <v>31.5</v>
      </c>
      <c r="G181" s="131">
        <f t="shared" si="58"/>
        <v>1.4213</v>
      </c>
      <c r="H181" s="131">
        <f>(G181+I181)/2</f>
        <v>1.08565</v>
      </c>
      <c r="I181" s="131">
        <v>0.75</v>
      </c>
      <c r="J181" s="131">
        <f t="shared" si="44"/>
        <v>0.72099999999999997</v>
      </c>
      <c r="K181" s="131">
        <f t="shared" si="45"/>
        <v>0.96133333333333326</v>
      </c>
      <c r="L181" s="131">
        <v>0.14000000000000001</v>
      </c>
      <c r="M181" s="131">
        <v>0.2</v>
      </c>
      <c r="N181" s="131">
        <f t="shared" si="46"/>
        <v>0.10417910447761194</v>
      </c>
      <c r="O181" s="131">
        <f t="shared" si="56"/>
        <v>2.0809903606896869</v>
      </c>
      <c r="P181" s="131">
        <f t="shared" si="55"/>
        <v>1.7380694931914444E-2</v>
      </c>
      <c r="Q181" s="131">
        <f t="shared" si="48"/>
        <v>0.55555555555555558</v>
      </c>
      <c r="R181" s="131">
        <v>40</v>
      </c>
      <c r="S181" s="131">
        <v>0.317</v>
      </c>
      <c r="T181" s="131">
        <f>(R181/100+S181)/2</f>
        <v>0.35850000000000004</v>
      </c>
      <c r="U181" s="131">
        <v>0.51800000000000002</v>
      </c>
      <c r="V181" s="131">
        <v>1</v>
      </c>
      <c r="W181" s="131">
        <f>(V181+U181+J181)/3</f>
        <v>0.74633333333333329</v>
      </c>
      <c r="X181" s="131">
        <f>27/126</f>
        <v>0.21428571428571427</v>
      </c>
      <c r="Y181" s="131">
        <f>X181</f>
        <v>0.21428571428571427</v>
      </c>
      <c r="Z181" s="131">
        <f t="shared" si="57"/>
        <v>151.31730982578793</v>
      </c>
      <c r="AA181" s="15">
        <v>32</v>
      </c>
      <c r="AB181" s="15"/>
      <c r="AC181" s="15">
        <v>6.1</v>
      </c>
      <c r="AD181" s="75"/>
      <c r="AE181" s="15">
        <v>3.45</v>
      </c>
    </row>
    <row r="182" spans="1:31" ht="14">
      <c r="A182" s="164" t="s">
        <v>173</v>
      </c>
      <c r="B182" s="181">
        <v>3</v>
      </c>
      <c r="C182" s="181">
        <v>3</v>
      </c>
      <c r="D182" s="182" t="s">
        <v>3</v>
      </c>
      <c r="E182" s="131">
        <f t="shared" si="43"/>
        <v>1.6666666666666665</v>
      </c>
      <c r="F182" s="131">
        <v>30.3</v>
      </c>
      <c r="G182" s="131">
        <f t="shared" si="58"/>
        <v>1.3290600000000001</v>
      </c>
      <c r="H182" s="131">
        <f>(G182+I182)/2</f>
        <v>1.1645300000000001</v>
      </c>
      <c r="I182" s="131">
        <v>1</v>
      </c>
      <c r="J182" s="131">
        <f t="shared" si="44"/>
        <v>0.42699999999999994</v>
      </c>
      <c r="K182" s="131">
        <f t="shared" si="45"/>
        <v>0.56933333333333325</v>
      </c>
      <c r="L182" s="131">
        <v>0.61</v>
      </c>
      <c r="M182" s="131">
        <v>0.6</v>
      </c>
      <c r="N182" s="131">
        <f t="shared" si="46"/>
        <v>0.3182089552238806</v>
      </c>
      <c r="O182" s="131">
        <f t="shared" si="56"/>
        <v>1.8500369336737703</v>
      </c>
      <c r="P182" s="131">
        <f t="shared" si="55"/>
        <v>8.6023339093471554E-2</v>
      </c>
      <c r="Q182" s="131">
        <f t="shared" si="48"/>
        <v>0.77777777777777779</v>
      </c>
      <c r="R182" s="131">
        <v>40.200000000000003</v>
      </c>
      <c r="S182" s="131">
        <f>1-0.679</f>
        <v>0.32099999999999995</v>
      </c>
      <c r="T182" s="131">
        <f>(R182/100+S182)/2</f>
        <v>0.36149999999999999</v>
      </c>
      <c r="U182" s="131">
        <v>0.42399999999999999</v>
      </c>
      <c r="V182" s="131">
        <f>1-0.46</f>
        <v>0.54</v>
      </c>
      <c r="W182" s="131">
        <f>(V182+U182+J182)/3</f>
        <v>0.46366666666666667</v>
      </c>
      <c r="X182" s="131">
        <f>-4/117</f>
        <v>-3.4188034188034191E-2</v>
      </c>
      <c r="Y182" s="131">
        <f>X182</f>
        <v>-3.4188034188034191E-2</v>
      </c>
      <c r="Z182" s="131">
        <f t="shared" si="57"/>
        <v>30.573098274437882</v>
      </c>
      <c r="AA182" s="15">
        <v>24</v>
      </c>
      <c r="AB182" s="15">
        <v>13</v>
      </c>
      <c r="AC182" s="15">
        <v>0.1</v>
      </c>
      <c r="AD182" s="75"/>
      <c r="AE182" s="108">
        <v>4.9000000000000004</v>
      </c>
    </row>
    <row r="183" spans="1:31" ht="14">
      <c r="A183" s="164" t="s">
        <v>174</v>
      </c>
      <c r="B183" s="181">
        <v>7</v>
      </c>
      <c r="C183" s="181">
        <v>7</v>
      </c>
      <c r="D183" s="182" t="s">
        <v>4</v>
      </c>
      <c r="E183" s="131">
        <f t="shared" si="43"/>
        <v>3</v>
      </c>
      <c r="F183" s="131">
        <v>31.7</v>
      </c>
      <c r="G183" s="131">
        <f t="shared" si="58"/>
        <v>1.4366733333333332</v>
      </c>
      <c r="H183" s="131">
        <f>(G183+I183)/2</f>
        <v>1.0933366666666666</v>
      </c>
      <c r="I183" s="131">
        <v>0.75</v>
      </c>
      <c r="J183" s="131">
        <f t="shared" si="44"/>
        <v>0.82800000000000007</v>
      </c>
      <c r="K183" s="131">
        <f t="shared" si="45"/>
        <v>1.1040000000000001</v>
      </c>
      <c r="L183" s="131">
        <v>0.06</v>
      </c>
      <c r="M183" s="131">
        <v>0.2</v>
      </c>
      <c r="N183" s="131">
        <f t="shared" si="46"/>
        <v>0.1017910447761194</v>
      </c>
      <c r="O183" s="131">
        <f t="shared" si="56"/>
        <v>1.2254989917568004</v>
      </c>
      <c r="P183" s="131">
        <f t="shared" si="55"/>
        <v>2.6574207003453826E-3</v>
      </c>
      <c r="Q183" s="131">
        <f t="shared" si="48"/>
        <v>0.33333333333333337</v>
      </c>
      <c r="R183" s="131">
        <v>40.799999999999997</v>
      </c>
      <c r="S183" s="131">
        <v>0.33100000000000002</v>
      </c>
      <c r="T183" s="131">
        <f>(R183/100+S183)/2</f>
        <v>0.3695</v>
      </c>
      <c r="U183" s="131"/>
      <c r="V183" s="131">
        <v>0.01</v>
      </c>
      <c r="W183" s="131">
        <f>(V183+K183)/2</f>
        <v>0.55700000000000005</v>
      </c>
      <c r="X183" s="131">
        <f>-50/158</f>
        <v>-0.31645569620253167</v>
      </c>
      <c r="Y183" s="131">
        <f>X183</f>
        <v>-0.31645569620253167</v>
      </c>
      <c r="Z183" s="131">
        <f t="shared" si="57"/>
        <v>989.68146054487397</v>
      </c>
      <c r="AA183" s="15">
        <v>17</v>
      </c>
      <c r="AB183" s="15">
        <v>6.2</v>
      </c>
      <c r="AC183" s="15">
        <v>1.33</v>
      </c>
      <c r="AD183" s="75"/>
      <c r="AE183" s="15">
        <v>7.16</v>
      </c>
    </row>
    <row r="184" spans="1:31" ht="14">
      <c r="A184" s="164" t="s">
        <v>175</v>
      </c>
      <c r="B184" s="181">
        <v>1</v>
      </c>
      <c r="C184" s="181">
        <v>1</v>
      </c>
      <c r="D184" s="182" t="s">
        <v>8</v>
      </c>
      <c r="E184" s="131">
        <f t="shared" si="43"/>
        <v>1</v>
      </c>
      <c r="F184" s="131"/>
      <c r="G184" s="131">
        <f t="shared" si="58"/>
        <v>-1</v>
      </c>
      <c r="H184" s="131">
        <v>0.67</v>
      </c>
      <c r="I184" s="131">
        <v>0.67</v>
      </c>
      <c r="J184" s="131">
        <f t="shared" si="44"/>
        <v>0.19000000000000006</v>
      </c>
      <c r="K184" s="131">
        <f t="shared" si="45"/>
        <v>0.25333333333333341</v>
      </c>
      <c r="L184" s="131">
        <v>0.03</v>
      </c>
      <c r="M184" s="131">
        <v>0.2</v>
      </c>
      <c r="N184" s="131">
        <f t="shared" si="46"/>
        <v>0.10089552238805971</v>
      </c>
      <c r="O184" s="131">
        <f t="shared" si="56"/>
        <v>2.2856870709784709</v>
      </c>
      <c r="P184" s="131">
        <f t="shared" si="55"/>
        <v>0.94436266316544237</v>
      </c>
      <c r="Q184" s="131">
        <f t="shared" si="48"/>
        <v>1</v>
      </c>
      <c r="R184" s="131"/>
      <c r="S184" s="184">
        <v>0.15</v>
      </c>
      <c r="T184" s="131">
        <f>S184</f>
        <v>0.15</v>
      </c>
      <c r="U184" s="131"/>
      <c r="V184" s="131">
        <v>0.9</v>
      </c>
      <c r="W184" s="131">
        <f>(V184+K184)/2</f>
        <v>0.57666666666666666</v>
      </c>
      <c r="X184" s="131" t="s">
        <v>223</v>
      </c>
      <c r="Y184" s="131">
        <v>0.1</v>
      </c>
      <c r="Z184" s="131">
        <f t="shared" si="57"/>
        <v>2.7849470363265003</v>
      </c>
      <c r="AA184" s="53">
        <v>3.8</v>
      </c>
      <c r="AB184" s="53">
        <v>16</v>
      </c>
      <c r="AC184" s="53">
        <v>10.67</v>
      </c>
      <c r="AD184" s="75"/>
      <c r="AE184" s="53">
        <v>2.79</v>
      </c>
    </row>
    <row r="185" spans="1:31" ht="14">
      <c r="A185" s="164" t="s">
        <v>176</v>
      </c>
      <c r="B185" s="181">
        <v>5</v>
      </c>
      <c r="C185" s="181">
        <v>4</v>
      </c>
      <c r="D185" s="182" t="s">
        <v>3</v>
      </c>
      <c r="E185" s="131">
        <f t="shared" si="43"/>
        <v>2.166666666666667</v>
      </c>
      <c r="F185" s="131">
        <v>36.1</v>
      </c>
      <c r="G185" s="131">
        <f t="shared" si="58"/>
        <v>1.7748866666666667</v>
      </c>
      <c r="H185" s="131">
        <f t="shared" ref="H185:H191" si="59">(G185+I185)/2</f>
        <v>1.2624433333333334</v>
      </c>
      <c r="I185" s="131">
        <v>0.75</v>
      </c>
      <c r="J185" s="131">
        <f t="shared" si="44"/>
        <v>0.495</v>
      </c>
      <c r="K185" s="131">
        <f t="shared" si="45"/>
        <v>0.66</v>
      </c>
      <c r="L185" s="131">
        <v>0.1</v>
      </c>
      <c r="M185" s="131">
        <v>0.2</v>
      </c>
      <c r="N185" s="131">
        <f t="shared" si="46"/>
        <v>0.10298507462686568</v>
      </c>
      <c r="O185" s="131">
        <f t="shared" si="56"/>
        <v>1.3726349823193438</v>
      </c>
      <c r="P185" s="131">
        <f t="shared" si="55"/>
        <v>3.26652201508211E-2</v>
      </c>
      <c r="Q185" s="131">
        <f t="shared" si="48"/>
        <v>0.61111111111111094</v>
      </c>
      <c r="R185" s="131">
        <v>44.3</v>
      </c>
      <c r="S185" s="131">
        <v>0.57799999999999996</v>
      </c>
      <c r="T185" s="131">
        <f t="shared" ref="T185:T191" si="60">(R185/100+S185)/2</f>
        <v>0.51049999999999995</v>
      </c>
      <c r="U185" s="131">
        <v>0.25</v>
      </c>
      <c r="V185" s="131">
        <v>0.36</v>
      </c>
      <c r="W185" s="131">
        <f t="shared" ref="W185:W191" si="61">(V185+U185+J185)/3</f>
        <v>0.36833333333333335</v>
      </c>
      <c r="X185" s="131">
        <f>-53/147</f>
        <v>-0.36054421768707484</v>
      </c>
      <c r="Y185" s="131">
        <f t="shared" ref="Y185:Y190" si="62">X185</f>
        <v>-0.36054421768707484</v>
      </c>
      <c r="Z185" s="131">
        <f t="shared" si="57"/>
        <v>80.513769319686944</v>
      </c>
      <c r="AA185" s="99">
        <v>16.899999999999999</v>
      </c>
      <c r="AB185" s="99">
        <v>10.3</v>
      </c>
      <c r="AC185" s="99">
        <v>74.72</v>
      </c>
      <c r="AD185" s="99"/>
      <c r="AE185" s="99">
        <v>5.73</v>
      </c>
    </row>
    <row r="186" spans="1:31" ht="14">
      <c r="A186" s="164" t="s">
        <v>177</v>
      </c>
      <c r="B186" s="181">
        <v>3</v>
      </c>
      <c r="C186" s="181">
        <v>3</v>
      </c>
      <c r="D186" s="182" t="s">
        <v>3</v>
      </c>
      <c r="E186" s="131">
        <f t="shared" si="43"/>
        <v>1.6666666666666665</v>
      </c>
      <c r="F186" s="131">
        <v>22.6</v>
      </c>
      <c r="G186" s="131">
        <f t="shared" si="58"/>
        <v>0.73718666666666688</v>
      </c>
      <c r="H186" s="131">
        <f t="shared" si="59"/>
        <v>0.74359333333333344</v>
      </c>
      <c r="I186" s="131">
        <v>0.75</v>
      </c>
      <c r="J186" s="131">
        <f t="shared" si="44"/>
        <v>0.37</v>
      </c>
      <c r="K186" s="131">
        <f t="shared" si="45"/>
        <v>0.49333333333333335</v>
      </c>
      <c r="L186" s="131">
        <v>0.56999999999999995</v>
      </c>
      <c r="M186" s="131">
        <v>0.4</v>
      </c>
      <c r="N186" s="131">
        <f t="shared" si="46"/>
        <v>0.21701492537313433</v>
      </c>
      <c r="O186" s="131">
        <f t="shared" si="56"/>
        <v>1.9781591037945865</v>
      </c>
      <c r="P186" s="131">
        <f t="shared" si="55"/>
        <v>0.23310829673541283</v>
      </c>
      <c r="Q186" s="131">
        <f t="shared" si="48"/>
        <v>0.77777777777777779</v>
      </c>
      <c r="R186" s="131">
        <v>27.5</v>
      </c>
      <c r="S186" s="131">
        <f>0.29</f>
        <v>0.28999999999999998</v>
      </c>
      <c r="T186" s="131">
        <f t="shared" si="60"/>
        <v>0.28249999999999997</v>
      </c>
      <c r="U186" s="131">
        <v>0.44800000000000001</v>
      </c>
      <c r="V186" s="131">
        <v>0.48</v>
      </c>
      <c r="W186" s="131">
        <f t="shared" si="61"/>
        <v>0.4326666666666667</v>
      </c>
      <c r="X186" s="131">
        <f>17/105</f>
        <v>0.16190476190476191</v>
      </c>
      <c r="Y186" s="131">
        <f t="shared" si="62"/>
        <v>0.16190476190476191</v>
      </c>
      <c r="Z186" s="131">
        <f t="shared" si="57"/>
        <v>11.282309711117465</v>
      </c>
      <c r="AA186" s="15">
        <v>30</v>
      </c>
      <c r="AB186" s="15">
        <v>60</v>
      </c>
      <c r="AC186" s="15">
        <v>5.2</v>
      </c>
      <c r="AD186" s="75"/>
      <c r="AE186" s="15">
        <v>1.72</v>
      </c>
    </row>
    <row r="187" spans="1:31" ht="14">
      <c r="A187" s="164" t="s">
        <v>178</v>
      </c>
      <c r="B187" s="181">
        <v>6</v>
      </c>
      <c r="C187" s="181">
        <v>5</v>
      </c>
      <c r="D187" s="182" t="s">
        <v>4</v>
      </c>
      <c r="E187" s="131">
        <f t="shared" si="43"/>
        <v>2.5</v>
      </c>
      <c r="F187" s="131">
        <v>30</v>
      </c>
      <c r="G187" s="131">
        <f t="shared" si="58"/>
        <v>1.306</v>
      </c>
      <c r="H187" s="131">
        <f t="shared" si="59"/>
        <v>1.153</v>
      </c>
      <c r="I187" s="131">
        <v>1</v>
      </c>
      <c r="J187" s="131">
        <f t="shared" si="44"/>
        <v>0.748</v>
      </c>
      <c r="K187" s="131">
        <f t="shared" si="45"/>
        <v>0.99733333333333329</v>
      </c>
      <c r="L187" s="131">
        <v>0.33</v>
      </c>
      <c r="M187" s="131">
        <v>0.2</v>
      </c>
      <c r="N187" s="131">
        <f t="shared" si="46"/>
        <v>0.10985074626865672</v>
      </c>
      <c r="O187" s="131">
        <f t="shared" si="56"/>
        <v>1.5231034549440683</v>
      </c>
      <c r="P187" s="131">
        <f t="shared" si="55"/>
        <v>9.2468127646757395E-3</v>
      </c>
      <c r="Q187" s="131">
        <f t="shared" si="48"/>
        <v>0.5</v>
      </c>
      <c r="R187" s="131">
        <v>36</v>
      </c>
      <c r="S187" s="131">
        <f>1-0.815</f>
        <v>0.18500000000000005</v>
      </c>
      <c r="T187" s="131">
        <f t="shared" si="60"/>
        <v>0.27250000000000002</v>
      </c>
      <c r="U187" s="131">
        <v>0.439</v>
      </c>
      <c r="V187" s="131">
        <f>1-0.33</f>
        <v>0.66999999999999993</v>
      </c>
      <c r="W187" s="131">
        <f t="shared" si="61"/>
        <v>0.61899999999999999</v>
      </c>
      <c r="X187" s="131">
        <v>-0.05</v>
      </c>
      <c r="Y187" s="131">
        <f t="shared" si="62"/>
        <v>-0.05</v>
      </c>
      <c r="Z187" s="131">
        <f t="shared" si="57"/>
        <v>284.42232658230176</v>
      </c>
      <c r="AA187" s="15" t="s">
        <v>223</v>
      </c>
      <c r="AB187" s="15"/>
      <c r="AC187" s="15">
        <v>0.01</v>
      </c>
      <c r="AD187" s="75"/>
      <c r="AE187" s="108">
        <v>8.1</v>
      </c>
    </row>
    <row r="188" spans="1:31" ht="14">
      <c r="A188" s="164" t="s">
        <v>179</v>
      </c>
      <c r="B188" s="181">
        <v>1</v>
      </c>
      <c r="C188" s="181">
        <v>1</v>
      </c>
      <c r="D188" s="182" t="s">
        <v>8</v>
      </c>
      <c r="E188" s="131">
        <f t="shared" si="43"/>
        <v>1</v>
      </c>
      <c r="F188" s="131">
        <v>28.5</v>
      </c>
      <c r="G188" s="131">
        <f t="shared" si="58"/>
        <v>1.1907000000000001</v>
      </c>
      <c r="H188" s="131">
        <f t="shared" si="59"/>
        <v>1.09535</v>
      </c>
      <c r="I188" s="131">
        <v>1</v>
      </c>
      <c r="J188" s="131">
        <f t="shared" si="44"/>
        <v>0.18399999999999994</v>
      </c>
      <c r="K188" s="131">
        <f t="shared" si="45"/>
        <v>0.24533333333333326</v>
      </c>
      <c r="L188" s="131">
        <v>4.29</v>
      </c>
      <c r="M188" s="131">
        <v>0.8</v>
      </c>
      <c r="N188" s="131">
        <f t="shared" si="46"/>
        <v>0.52805970149253734</v>
      </c>
      <c r="O188" s="131">
        <f t="shared" si="56"/>
        <v>2.3142559576484043</v>
      </c>
      <c r="P188" s="131">
        <f t="shared" si="55"/>
        <v>0.40585505576125386</v>
      </c>
      <c r="Q188" s="131">
        <f t="shared" si="48"/>
        <v>1</v>
      </c>
      <c r="R188" s="131">
        <v>34</v>
      </c>
      <c r="S188" s="131">
        <f>1-0.849</f>
        <v>0.15100000000000002</v>
      </c>
      <c r="T188" s="131">
        <f t="shared" si="60"/>
        <v>0.24550000000000002</v>
      </c>
      <c r="U188" s="131">
        <v>0.79500000000000004</v>
      </c>
      <c r="V188" s="131">
        <v>0.89</v>
      </c>
      <c r="W188" s="131">
        <f t="shared" si="61"/>
        <v>0.623</v>
      </c>
      <c r="X188" s="131">
        <f>-3/102</f>
        <v>-2.9411764705882353E-2</v>
      </c>
      <c r="Y188" s="131">
        <f t="shared" si="62"/>
        <v>-2.9411764705882353E-2</v>
      </c>
      <c r="Z188" s="131">
        <f t="shared" si="57"/>
        <v>6.4801459601555633</v>
      </c>
      <c r="AA188" s="74">
        <v>35</v>
      </c>
      <c r="AB188" s="74"/>
      <c r="AC188" s="74">
        <v>33</v>
      </c>
      <c r="AD188" s="74"/>
      <c r="AE188" s="74">
        <v>5.05</v>
      </c>
    </row>
    <row r="189" spans="1:31" ht="14">
      <c r="A189" s="164" t="s">
        <v>180</v>
      </c>
      <c r="B189" s="181">
        <v>1</v>
      </c>
      <c r="C189" s="181">
        <v>1</v>
      </c>
      <c r="D189" s="182" t="s">
        <v>8</v>
      </c>
      <c r="E189" s="131">
        <f t="shared" si="43"/>
        <v>1</v>
      </c>
      <c r="F189" s="131">
        <v>30</v>
      </c>
      <c r="G189" s="131">
        <f t="shared" si="58"/>
        <v>1.306</v>
      </c>
      <c r="H189" s="131">
        <f t="shared" si="59"/>
        <v>1.3180000000000001</v>
      </c>
      <c r="I189" s="131">
        <v>1.33</v>
      </c>
      <c r="J189" s="131">
        <f t="shared" si="44"/>
        <v>0.18200000000000005</v>
      </c>
      <c r="K189" s="131">
        <f t="shared" si="45"/>
        <v>0.24266666666666672</v>
      </c>
      <c r="L189" s="131">
        <v>16.75</v>
      </c>
      <c r="M189" s="131">
        <v>1</v>
      </c>
      <c r="N189" s="131">
        <f t="shared" si="46"/>
        <v>1</v>
      </c>
      <c r="O189" s="131">
        <f t="shared" si="56"/>
        <v>1.8781471160743131</v>
      </c>
      <c r="P189" s="131">
        <f t="shared" si="55"/>
        <v>0.20317597155792202</v>
      </c>
      <c r="Q189" s="131">
        <f t="shared" si="48"/>
        <v>1</v>
      </c>
      <c r="R189" s="131">
        <v>45</v>
      </c>
      <c r="S189" s="131">
        <f>1-0.902</f>
        <v>9.7999999999999976E-2</v>
      </c>
      <c r="T189" s="131">
        <f t="shared" si="60"/>
        <v>0.27400000000000002</v>
      </c>
      <c r="U189" s="131">
        <v>0.69399999999999995</v>
      </c>
      <c r="V189" s="131">
        <v>0.85</v>
      </c>
      <c r="W189" s="131">
        <f t="shared" si="61"/>
        <v>0.57533333333333336</v>
      </c>
      <c r="X189" s="131">
        <f>-23/105</f>
        <v>-0.21904761904761905</v>
      </c>
      <c r="Y189" s="131">
        <f t="shared" si="62"/>
        <v>-0.21904761904761905</v>
      </c>
      <c r="Z189" s="131">
        <f t="shared" si="57"/>
        <v>12.944444069018425</v>
      </c>
      <c r="AA189" s="49">
        <v>35</v>
      </c>
      <c r="AB189" s="49">
        <v>7.9</v>
      </c>
      <c r="AC189" s="49">
        <v>45</v>
      </c>
      <c r="AD189" s="49"/>
      <c r="AE189" s="49">
        <v>6.3</v>
      </c>
    </row>
    <row r="190" spans="1:31" ht="14">
      <c r="A190" s="164" t="s">
        <v>181</v>
      </c>
      <c r="B190" s="181">
        <v>1</v>
      </c>
      <c r="C190" s="181">
        <v>1</v>
      </c>
      <c r="D190" s="182" t="s">
        <v>8</v>
      </c>
      <c r="E190" s="131">
        <f t="shared" si="43"/>
        <v>1</v>
      </c>
      <c r="F190" s="131">
        <v>32.9</v>
      </c>
      <c r="G190" s="131">
        <f t="shared" si="58"/>
        <v>1.5289133333333336</v>
      </c>
      <c r="H190" s="131">
        <f t="shared" si="59"/>
        <v>1.1394566666666668</v>
      </c>
      <c r="I190" s="131">
        <v>0.75</v>
      </c>
      <c r="J190" s="131">
        <f t="shared" si="44"/>
        <v>0.19000000000000006</v>
      </c>
      <c r="K190" s="131">
        <f t="shared" si="45"/>
        <v>0.25333333333333341</v>
      </c>
      <c r="L190" s="131">
        <v>0.15</v>
      </c>
      <c r="M190" s="131">
        <v>0.2</v>
      </c>
      <c r="N190" s="131">
        <f t="shared" si="46"/>
        <v>0.10447761194029852</v>
      </c>
      <c r="O190" s="131">
        <f t="shared" si="56"/>
        <v>2.2616453799010783</v>
      </c>
      <c r="P190" s="131">
        <f t="shared" si="55"/>
        <v>0.58843796744319044</v>
      </c>
      <c r="Q190" s="131">
        <f t="shared" si="48"/>
        <v>1</v>
      </c>
      <c r="R190" s="131">
        <v>42.4</v>
      </c>
      <c r="S190" s="131">
        <f>1-0.765</f>
        <v>0.23499999999999999</v>
      </c>
      <c r="T190" s="131">
        <f t="shared" si="60"/>
        <v>0.32950000000000002</v>
      </c>
      <c r="U190" s="131">
        <v>0.49199999999999999</v>
      </c>
      <c r="V190" s="131">
        <v>0.4</v>
      </c>
      <c r="W190" s="131">
        <f t="shared" si="61"/>
        <v>0.36066666666666669</v>
      </c>
      <c r="X190" s="131">
        <f>17/135</f>
        <v>0.12592592592592591</v>
      </c>
      <c r="Y190" s="131">
        <f t="shared" si="62"/>
        <v>0.12592592592592591</v>
      </c>
      <c r="Z190" s="131">
        <f t="shared" si="57"/>
        <v>4.4694600714286983</v>
      </c>
      <c r="AA190" s="57">
        <v>19.5</v>
      </c>
      <c r="AB190" s="57">
        <v>2.4</v>
      </c>
      <c r="AC190" s="57">
        <v>8.25</v>
      </c>
      <c r="AD190" s="75"/>
      <c r="AE190" s="57">
        <v>2.52</v>
      </c>
    </row>
    <row r="191" spans="1:31" ht="14">
      <c r="A191" s="164" t="s">
        <v>182</v>
      </c>
      <c r="B191" s="181">
        <v>7</v>
      </c>
      <c r="C191" s="181">
        <v>7</v>
      </c>
      <c r="D191" s="182" t="s">
        <v>4</v>
      </c>
      <c r="E191" s="131">
        <f t="shared" si="43"/>
        <v>3</v>
      </c>
      <c r="F191" s="131">
        <v>29.6</v>
      </c>
      <c r="G191" s="131">
        <f t="shared" si="58"/>
        <v>1.2752533333333336</v>
      </c>
      <c r="H191" s="131">
        <f t="shared" si="59"/>
        <v>1.0126266666666668</v>
      </c>
      <c r="I191" s="131">
        <v>0.75</v>
      </c>
      <c r="J191" s="131">
        <f t="shared" si="44"/>
        <v>0.82600000000000007</v>
      </c>
      <c r="K191" s="131">
        <f t="shared" si="45"/>
        <v>1.1013333333333335</v>
      </c>
      <c r="L191" s="131">
        <v>0.14000000000000001</v>
      </c>
      <c r="M191" s="131">
        <v>0.2</v>
      </c>
      <c r="N191" s="131">
        <f t="shared" si="46"/>
        <v>0.10417910447761194</v>
      </c>
      <c r="O191" s="131">
        <f t="shared" si="56"/>
        <v>1.3378389062691889</v>
      </c>
      <c r="P191" s="131">
        <f t="shared" si="55"/>
        <v>3.3882779458082493E-3</v>
      </c>
      <c r="Q191" s="131">
        <f t="shared" si="48"/>
        <v>0.33333333333333337</v>
      </c>
      <c r="R191" s="131">
        <v>36.799999999999997</v>
      </c>
      <c r="S191" s="131">
        <v>0.38300000000000001</v>
      </c>
      <c r="T191" s="131">
        <f t="shared" si="60"/>
        <v>0.3755</v>
      </c>
      <c r="U191" s="131">
        <v>7.6999999999999999E-2</v>
      </c>
      <c r="V191" s="131">
        <v>0.28999999999999998</v>
      </c>
      <c r="W191" s="131">
        <f t="shared" si="61"/>
        <v>0.39766666666666667</v>
      </c>
      <c r="X191" s="131" t="s">
        <v>225</v>
      </c>
      <c r="Y191" s="131">
        <v>0.1</v>
      </c>
      <c r="Z191" s="131">
        <f t="shared" si="57"/>
        <v>776.20550676890593</v>
      </c>
      <c r="AA191" s="105">
        <v>14</v>
      </c>
      <c r="AB191" s="105">
        <v>7.9</v>
      </c>
      <c r="AC191" s="105">
        <v>63</v>
      </c>
      <c r="AD191" s="105"/>
      <c r="AE191" s="105">
        <v>8.16</v>
      </c>
    </row>
    <row r="192" spans="1:31" ht="14">
      <c r="A192" s="164" t="s">
        <v>183</v>
      </c>
      <c r="B192" s="181">
        <v>2</v>
      </c>
      <c r="C192" s="181">
        <v>2</v>
      </c>
      <c r="D192" s="182" t="s">
        <v>8</v>
      </c>
      <c r="E192" s="131">
        <f t="shared" si="43"/>
        <v>1.3333333333333333</v>
      </c>
      <c r="F192" s="131"/>
      <c r="G192" s="131">
        <f t="shared" si="58"/>
        <v>-1</v>
      </c>
      <c r="H192" s="131">
        <v>0.67</v>
      </c>
      <c r="I192" s="131">
        <v>0.75</v>
      </c>
      <c r="J192" s="131">
        <f t="shared" si="44"/>
        <v>0.39</v>
      </c>
      <c r="K192" s="131">
        <f t="shared" si="45"/>
        <v>0.52</v>
      </c>
      <c r="L192" s="131">
        <v>0.04</v>
      </c>
      <c r="M192" s="131">
        <v>0.2</v>
      </c>
      <c r="N192" s="131">
        <f t="shared" si="46"/>
        <v>0.10119402985074627</v>
      </c>
      <c r="O192" s="131">
        <f t="shared" si="56"/>
        <v>2.2255409284924679</v>
      </c>
      <c r="P192" s="131">
        <f t="shared" si="55"/>
        <v>0.47019480397304064</v>
      </c>
      <c r="Q192" s="131">
        <f t="shared" si="48"/>
        <v>0.88888888888888895</v>
      </c>
      <c r="R192" s="131"/>
      <c r="S192" s="184">
        <v>0.23</v>
      </c>
      <c r="T192" s="131">
        <f>S192</f>
        <v>0.23</v>
      </c>
      <c r="U192" s="131"/>
      <c r="V192" s="131">
        <v>0.62</v>
      </c>
      <c r="W192" s="131">
        <f>(V192+K192)/2</f>
        <v>0.57000000000000006</v>
      </c>
      <c r="X192" s="131" t="s">
        <v>225</v>
      </c>
      <c r="Y192" s="131">
        <v>0.1</v>
      </c>
      <c r="Z192" s="131">
        <f t="shared" si="57"/>
        <v>5.5934263368652521</v>
      </c>
      <c r="AA192" s="105">
        <v>15.1</v>
      </c>
      <c r="AB192" s="105">
        <v>9.6999999999999993</v>
      </c>
      <c r="AC192" s="105">
        <v>315</v>
      </c>
      <c r="AD192" s="105"/>
      <c r="AE192" s="105">
        <v>8.18</v>
      </c>
    </row>
    <row r="193" spans="1:31" ht="14">
      <c r="A193" s="164" t="s">
        <v>184</v>
      </c>
      <c r="B193" s="181">
        <v>5</v>
      </c>
      <c r="C193" s="181">
        <v>5</v>
      </c>
      <c r="D193" s="182" t="s">
        <v>3</v>
      </c>
      <c r="E193" s="131">
        <f t="shared" si="43"/>
        <v>2.333333333333333</v>
      </c>
      <c r="F193" s="131">
        <v>32.700000000000003</v>
      </c>
      <c r="G193" s="131">
        <f t="shared" si="58"/>
        <v>1.5135400000000003</v>
      </c>
      <c r="H193" s="131">
        <f>(G193+I193)/2</f>
        <v>1.1317700000000002</v>
      </c>
      <c r="I193" s="131">
        <v>0.75</v>
      </c>
      <c r="J193" s="131">
        <f t="shared" si="44"/>
        <v>0.48199999999999998</v>
      </c>
      <c r="K193" s="131">
        <f t="shared" si="45"/>
        <v>0.64266666666666661</v>
      </c>
      <c r="L193" s="131">
        <v>1.0900000000000001</v>
      </c>
      <c r="M193" s="131">
        <v>0.4</v>
      </c>
      <c r="N193" s="131">
        <f t="shared" si="46"/>
        <v>0.23253731343283585</v>
      </c>
      <c r="O193" s="131">
        <f t="shared" si="56"/>
        <v>1.6241750088442295</v>
      </c>
      <c r="P193" s="131">
        <f t="shared" si="55"/>
        <v>2.4332182048191733E-2</v>
      </c>
      <c r="Q193" s="131">
        <f t="shared" si="48"/>
        <v>0.55555555555555558</v>
      </c>
      <c r="R193" s="131">
        <v>39</v>
      </c>
      <c r="S193" s="131">
        <f>1-0.696</f>
        <v>0.30400000000000005</v>
      </c>
      <c r="T193" s="131">
        <f>(R193/100+S193)/2</f>
        <v>0.34700000000000003</v>
      </c>
      <c r="U193" s="131">
        <v>0.36</v>
      </c>
      <c r="V193" s="131">
        <f>1-0.42</f>
        <v>0.58000000000000007</v>
      </c>
      <c r="W193" s="131">
        <f>(V193+U193+J193)/3</f>
        <v>0.47400000000000003</v>
      </c>
      <c r="X193" s="131">
        <v>5.1999999999999998E-2</v>
      </c>
      <c r="Y193" s="131">
        <f>X193</f>
        <v>5.1999999999999998E-2</v>
      </c>
      <c r="Z193" s="131">
        <f t="shared" si="57"/>
        <v>108.08730572503055</v>
      </c>
      <c r="AA193" s="61">
        <v>20.9</v>
      </c>
      <c r="AB193" s="61">
        <v>6.3</v>
      </c>
      <c r="AC193" s="61">
        <v>3.2</v>
      </c>
      <c r="AD193" s="61"/>
      <c r="AE193" s="61">
        <v>8.1</v>
      </c>
    </row>
    <row r="194" spans="1:31" ht="14">
      <c r="A194" s="164" t="s">
        <v>185</v>
      </c>
      <c r="B194" s="181">
        <v>7</v>
      </c>
      <c r="C194" s="181">
        <v>5</v>
      </c>
      <c r="D194" s="182" t="s">
        <v>4</v>
      </c>
      <c r="E194" s="131">
        <f t="shared" si="43"/>
        <v>2.666666666666667</v>
      </c>
      <c r="F194" s="131">
        <v>30</v>
      </c>
      <c r="G194" s="131">
        <f t="shared" si="58"/>
        <v>1.306</v>
      </c>
      <c r="H194" s="131">
        <f>(G194+I194)/2</f>
        <v>1.153</v>
      </c>
      <c r="I194" s="131">
        <v>1</v>
      </c>
      <c r="J194" s="131">
        <f t="shared" si="44"/>
        <v>0.70599999999999996</v>
      </c>
      <c r="K194" s="131">
        <f t="shared" si="45"/>
        <v>0.94133333333333324</v>
      </c>
      <c r="L194" s="131">
        <v>0.21</v>
      </c>
      <c r="M194" s="131">
        <v>0.4</v>
      </c>
      <c r="N194" s="131">
        <f t="shared" si="46"/>
        <v>0.20626865671641792</v>
      </c>
      <c r="O194" s="131">
        <f t="shared" si="56"/>
        <v>1.6282620638610517</v>
      </c>
      <c r="P194" s="131">
        <f t="shared" si="55"/>
        <v>5.6962068308093255E-3</v>
      </c>
      <c r="Q194" s="131">
        <f t="shared" si="48"/>
        <v>0.44444444444444431</v>
      </c>
      <c r="R194" s="131">
        <v>37.6</v>
      </c>
      <c r="S194" s="131">
        <f>1-0.572</f>
        <v>0.42800000000000005</v>
      </c>
      <c r="T194" s="131">
        <f>(R194/100+S194)/2</f>
        <v>0.40200000000000002</v>
      </c>
      <c r="U194" s="131">
        <v>0.57299999999999995</v>
      </c>
      <c r="V194" s="131">
        <v>0.42</v>
      </c>
      <c r="W194" s="131">
        <f>(V194+U194+J194)/3</f>
        <v>0.56633333333333324</v>
      </c>
      <c r="X194" s="131">
        <f>18/140</f>
        <v>0.12857142857142856</v>
      </c>
      <c r="Y194" s="131">
        <f>X194</f>
        <v>0.12857142857142856</v>
      </c>
      <c r="Z194" s="131">
        <f t="shared" si="57"/>
        <v>461.71076263856901</v>
      </c>
      <c r="AA194" s="15">
        <v>26</v>
      </c>
      <c r="AB194" s="15">
        <v>1</v>
      </c>
      <c r="AC194" s="15">
        <v>29</v>
      </c>
      <c r="AD194" s="75"/>
      <c r="AE194" s="15">
        <v>1.74</v>
      </c>
    </row>
    <row r="195" spans="1:31" ht="14">
      <c r="A195" s="164" t="s">
        <v>186</v>
      </c>
      <c r="B195" s="181">
        <v>6</v>
      </c>
      <c r="C195" s="181">
        <v>5</v>
      </c>
      <c r="D195" s="182" t="s">
        <v>4</v>
      </c>
      <c r="E195" s="131">
        <f t="shared" si="43"/>
        <v>2.5</v>
      </c>
      <c r="F195" s="131">
        <v>30.8</v>
      </c>
      <c r="G195" s="131">
        <f t="shared" si="58"/>
        <v>1.3674933333333334</v>
      </c>
      <c r="H195" s="131">
        <f>(G195+I195)/2</f>
        <v>1.1837466666666667</v>
      </c>
      <c r="I195" s="131">
        <v>1</v>
      </c>
      <c r="J195" s="131">
        <f t="shared" si="44"/>
        <v>0.73599999999999999</v>
      </c>
      <c r="K195" s="131">
        <f t="shared" si="45"/>
        <v>0.98133333333333328</v>
      </c>
      <c r="L195" s="131">
        <v>0.13</v>
      </c>
      <c r="M195" s="131">
        <v>0.2</v>
      </c>
      <c r="N195" s="131">
        <f t="shared" si="46"/>
        <v>0.10388059701492539</v>
      </c>
      <c r="O195" s="131">
        <f t="shared" si="56"/>
        <v>3.2381429438379601</v>
      </c>
      <c r="P195" s="131">
        <f t="shared" si="55"/>
        <v>9.0461353434547129E-3</v>
      </c>
      <c r="Q195" s="131">
        <f t="shared" si="48"/>
        <v>0.5</v>
      </c>
      <c r="R195" s="131">
        <v>37.700000000000003</v>
      </c>
      <c r="S195" s="131">
        <f>1-0.439</f>
        <v>0.56099999999999994</v>
      </c>
      <c r="T195" s="131">
        <f>(R195/100+S195)/2</f>
        <v>0.46899999999999997</v>
      </c>
      <c r="U195" s="131">
        <v>0.372</v>
      </c>
      <c r="V195" s="131">
        <v>1.25</v>
      </c>
      <c r="W195" s="131">
        <f>(V195+U195+J195)/3</f>
        <v>0.78599999999999992</v>
      </c>
      <c r="X195" s="131">
        <v>9.5000000000000001E-2</v>
      </c>
      <c r="Y195" s="131">
        <f>X195+1</f>
        <v>1.095</v>
      </c>
      <c r="Z195" s="131">
        <f t="shared" si="57"/>
        <v>290.73188717024044</v>
      </c>
      <c r="AA195" s="15" t="s">
        <v>223</v>
      </c>
      <c r="AB195" s="15">
        <v>1.7</v>
      </c>
      <c r="AC195" s="15">
        <v>0.23400000000000001</v>
      </c>
      <c r="AD195" s="75"/>
      <c r="AE195" s="108">
        <v>6.1</v>
      </c>
    </row>
    <row r="196" spans="1:31" ht="14">
      <c r="A196" s="164" t="s">
        <v>187</v>
      </c>
      <c r="B196" s="181">
        <v>3</v>
      </c>
      <c r="C196" s="181">
        <v>4</v>
      </c>
      <c r="D196" s="182" t="s">
        <v>3</v>
      </c>
      <c r="E196" s="131">
        <f t="shared" ref="E196:E197" si="63">1+(-2+B196+C196)/6</f>
        <v>1.8333333333333335</v>
      </c>
      <c r="F196" s="131">
        <v>38.799999999999997</v>
      </c>
      <c r="G196" s="131">
        <f t="shared" si="58"/>
        <v>1.9824266666666666</v>
      </c>
      <c r="H196" s="131">
        <f>(G196+I196)/2</f>
        <v>1.3662133333333333</v>
      </c>
      <c r="I196" s="131">
        <v>0.75</v>
      </c>
      <c r="J196" s="131">
        <f t="shared" ref="J196:J197" si="64">1-AE199/10</f>
        <v>0.43200000000000005</v>
      </c>
      <c r="K196" s="131">
        <f t="shared" ref="K196:K197" si="65">4*J196/3</f>
        <v>0.57600000000000007</v>
      </c>
      <c r="L196" s="131">
        <v>0.22</v>
      </c>
      <c r="M196" s="131">
        <v>0.2</v>
      </c>
      <c r="N196" s="131">
        <f t="shared" ref="N196:N197" si="66">(L196/16.75+M196)/2</f>
        <v>0.10656716417910449</v>
      </c>
      <c r="O196" s="131">
        <f t="shared" si="56"/>
        <v>1.780219957154126</v>
      </c>
      <c r="P196" s="131">
        <f t="shared" si="55"/>
        <v>6.1475673664983868E-2</v>
      </c>
      <c r="Q196" s="131">
        <f t="shared" ref="Q196:Q197" si="67">1-(E196-1)/3</f>
        <v>0.7222222222222221</v>
      </c>
      <c r="R196" s="131">
        <v>50.8</v>
      </c>
      <c r="S196" s="131">
        <f>1-0.395</f>
        <v>0.60499999999999998</v>
      </c>
      <c r="T196" s="131">
        <f>(R196/100+S196)/2</f>
        <v>0.55649999999999999</v>
      </c>
      <c r="U196" s="131">
        <v>0.27300000000000002</v>
      </c>
      <c r="V196" s="131">
        <f>1-0.67</f>
        <v>0.32999999999999996</v>
      </c>
      <c r="W196" s="131">
        <f>(V196+U196+J196)/3</f>
        <v>0.34500000000000003</v>
      </c>
      <c r="X196" s="131">
        <f>-14/136</f>
        <v>-0.10294117647058823</v>
      </c>
      <c r="Y196" s="131">
        <f>X196</f>
        <v>-0.10294117647058823</v>
      </c>
      <c r="Z196" s="131">
        <f t="shared" si="57"/>
        <v>42.781149733020825</v>
      </c>
      <c r="AA196" s="61">
        <v>27</v>
      </c>
      <c r="AB196" s="61">
        <v>7.3</v>
      </c>
      <c r="AC196" s="61">
        <v>27</v>
      </c>
      <c r="AD196" s="61"/>
      <c r="AE196" s="61">
        <v>5.18</v>
      </c>
    </row>
    <row r="197" spans="1:31" ht="14.5" thickBot="1">
      <c r="A197" s="166" t="s">
        <v>188</v>
      </c>
      <c r="B197" s="185">
        <v>6</v>
      </c>
      <c r="C197" s="185">
        <v>6</v>
      </c>
      <c r="D197" s="186" t="s">
        <v>4</v>
      </c>
      <c r="E197" s="131">
        <f t="shared" si="63"/>
        <v>2.666666666666667</v>
      </c>
      <c r="F197" s="131">
        <v>40.4</v>
      </c>
      <c r="G197" s="131">
        <f t="shared" si="58"/>
        <v>2.1054133333333334</v>
      </c>
      <c r="H197" s="131">
        <f>(G197+I197)/2</f>
        <v>1.4277066666666667</v>
      </c>
      <c r="I197" s="142">
        <f>3/4</f>
        <v>0.75</v>
      </c>
      <c r="J197" s="131">
        <f t="shared" si="64"/>
        <v>0.73599999999999999</v>
      </c>
      <c r="K197" s="131">
        <f t="shared" si="65"/>
        <v>0.98133333333333328</v>
      </c>
      <c r="L197" s="131">
        <v>0.17</v>
      </c>
      <c r="M197" s="131">
        <v>0.2</v>
      </c>
      <c r="N197" s="131">
        <f t="shared" si="66"/>
        <v>0.10507462686567165</v>
      </c>
      <c r="O197" s="131">
        <f t="shared" si="56"/>
        <v>2.8387548968901704</v>
      </c>
      <c r="P197" s="131">
        <f t="shared" si="55"/>
        <v>3.2233895253322509E-3</v>
      </c>
      <c r="Q197" s="131">
        <f t="shared" si="67"/>
        <v>0.44444444444444431</v>
      </c>
      <c r="R197" s="131">
        <v>50.1</v>
      </c>
      <c r="S197" s="131">
        <f>1-0.14</f>
        <v>0.86</v>
      </c>
      <c r="T197" s="131">
        <f>(R197/100+S197)/2</f>
        <v>0.68049999999999999</v>
      </c>
      <c r="U197" s="131">
        <v>2.2999999999999998</v>
      </c>
      <c r="V197" s="131">
        <v>0.4</v>
      </c>
      <c r="W197" s="131">
        <f>(V197+U197+J197)/3</f>
        <v>1.1453333333333333</v>
      </c>
      <c r="X197" s="131">
        <f>(127-79)/92</f>
        <v>0.52173913043478259</v>
      </c>
      <c r="Y197" s="131">
        <f>X197</f>
        <v>0.52173913043478259</v>
      </c>
      <c r="Z197" s="131">
        <f t="shared" si="57"/>
        <v>815.9113192281385</v>
      </c>
      <c r="AA197" s="25">
        <v>14.5</v>
      </c>
      <c r="AB197" s="25">
        <v>2.2000000000000002</v>
      </c>
      <c r="AC197" s="25">
        <v>25</v>
      </c>
      <c r="AD197" s="25"/>
      <c r="AE197" s="25">
        <v>2.94</v>
      </c>
    </row>
    <row r="198" spans="1:31" ht="14.5" thickTop="1">
      <c r="AA198" s="122">
        <v>45</v>
      </c>
      <c r="AB198" s="122">
        <v>35</v>
      </c>
      <c r="AC198" s="122">
        <v>25</v>
      </c>
      <c r="AD198" s="122"/>
      <c r="AE198" s="122">
        <v>2.64</v>
      </c>
    </row>
    <row r="199" spans="1:31" ht="14">
      <c r="AA199" s="15">
        <v>64</v>
      </c>
      <c r="AB199" s="15">
        <v>14</v>
      </c>
      <c r="AC199" s="15">
        <v>12.9</v>
      </c>
      <c r="AD199" s="75"/>
      <c r="AE199" s="15">
        <v>5.68</v>
      </c>
    </row>
    <row r="200" spans="1:31" ht="14">
      <c r="AA200" s="79">
        <v>69</v>
      </c>
      <c r="AB200" s="79">
        <v>95</v>
      </c>
      <c r="AC200" s="79">
        <v>12.5</v>
      </c>
      <c r="AD200" s="75"/>
      <c r="AE200" s="79">
        <v>2.64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 Country Ratings</vt:lpstr>
      <vt:lpstr>TABLE</vt:lpstr>
      <vt:lpstr>CHECK</vt:lpstr>
      <vt:lpstr>' Country Ratings'!Print_Titles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rosenberg</dc:creator>
  <cp:lastModifiedBy>Ophir Flomenbom</cp:lastModifiedBy>
  <cp:lastPrinted>2012-04-25T17:22:51Z</cp:lastPrinted>
  <dcterms:created xsi:type="dcterms:W3CDTF">2005-08-11T15:38:49Z</dcterms:created>
  <dcterms:modified xsi:type="dcterms:W3CDTF">2012-04-25T17:32:07Z</dcterms:modified>
</cp:coreProperties>
</file>